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PERATIONAL\MBCD DEVELOPMENT\Development precedents\Budget and contribution\Based on GST-exclusive figures\"/>
    </mc:Choice>
  </mc:AlternateContent>
  <workbookProtection workbookAlgorithmName="SHA-512" workbookHashValue="d0jUuxkb/WC1vTW0beH0SgGHTJ/GjF+Fwl4lsQSZk1iLTCgtyxEHKP2ADuv6W688ODqiub0k1oALRDiFuKQ5Yg==" workbookSaltValue="qmQwYt+24guNHW2j3aayRw==" workbookSpinCount="100000" lockStructure="1"/>
  <bookViews>
    <workbookView xWindow="-15" yWindow="-15" windowWidth="10245" windowHeight="7845" activeTab="1"/>
  </bookViews>
  <sheets>
    <sheet name="Budget" sheetId="10" r:id="rId1"/>
    <sheet name="Schedule " sheetId="11" r:id="rId2"/>
    <sheet name="Help" sheetId="12" r:id="rId3"/>
  </sheets>
  <definedNames>
    <definedName name="_xlnm.Print_Area" localSheetId="0">Budget!$A$1:$E$117</definedName>
    <definedName name="_xlnm.Print_Area" localSheetId="1">'Schedule '!$A$1:$J$71</definedName>
    <definedName name="_xlnm.Print_Titles" localSheetId="1">'Schedule '!$19:$19</definedName>
  </definedNames>
  <calcPr calcId="162913"/>
</workbook>
</file>

<file path=xl/calcChain.xml><?xml version="1.0" encoding="utf-8"?>
<calcChain xmlns="http://schemas.openxmlformats.org/spreadsheetml/2006/main">
  <c r="C78" i="10" l="1"/>
  <c r="C105" i="10"/>
  <c r="C104" i="10"/>
  <c r="C101" i="10"/>
  <c r="A101" i="10" s="1"/>
  <c r="C94" i="10"/>
  <c r="D94" i="10" s="1"/>
  <c r="C95" i="10"/>
  <c r="D95" i="10" s="1"/>
  <c r="C96" i="10"/>
  <c r="D96" i="10" s="1"/>
  <c r="C93" i="10"/>
  <c r="B97" i="10"/>
  <c r="B102" i="10" s="1"/>
  <c r="B103" i="10" s="1"/>
  <c r="B106" i="10" s="1"/>
  <c r="B108" i="10" s="1"/>
  <c r="B107" i="10" s="1"/>
  <c r="B80" i="10"/>
  <c r="C84" i="10" s="1"/>
  <c r="C79" i="10"/>
  <c r="C58" i="10"/>
  <c r="A58" i="10" s="1"/>
  <c r="C43" i="10"/>
  <c r="C44" i="10"/>
  <c r="C45" i="10"/>
  <c r="D45" i="10" s="1"/>
  <c r="C46" i="10"/>
  <c r="D46" i="10" s="1"/>
  <c r="C47" i="10"/>
  <c r="C48" i="10"/>
  <c r="C49" i="10"/>
  <c r="C50" i="10"/>
  <c r="C51" i="10"/>
  <c r="C52" i="10"/>
  <c r="C53" i="10"/>
  <c r="C42" i="10"/>
  <c r="D42" i="10" s="1"/>
  <c r="B54" i="10"/>
  <c r="D43" i="10"/>
  <c r="D44" i="10"/>
  <c r="C97" i="10" l="1"/>
  <c r="D97" i="10" s="1"/>
  <c r="D93" i="10"/>
  <c r="C62" i="10" l="1"/>
  <c r="C61" i="10"/>
  <c r="B59" i="10"/>
  <c r="B60" i="10" s="1"/>
  <c r="B63" i="10" s="1"/>
  <c r="C25" i="10"/>
  <c r="B65" i="10" l="1"/>
  <c r="B64" i="10" s="1"/>
  <c r="D104" i="10"/>
  <c r="D105" i="10"/>
  <c r="D101" i="10"/>
  <c r="G14" i="11"/>
  <c r="G13" i="11"/>
  <c r="G30" i="11" l="1"/>
  <c r="E32" i="11"/>
  <c r="F33" i="11"/>
  <c r="G34" i="11"/>
  <c r="E36" i="11"/>
  <c r="F37" i="11"/>
  <c r="G38" i="11"/>
  <c r="E40" i="11"/>
  <c r="F41" i="11"/>
  <c r="G42" i="11"/>
  <c r="E44" i="11"/>
  <c r="F45" i="11"/>
  <c r="G46" i="11"/>
  <c r="E48" i="11"/>
  <c r="F49" i="11"/>
  <c r="G50" i="11"/>
  <c r="E52" i="11"/>
  <c r="F53" i="11"/>
  <c r="G54" i="11"/>
  <c r="E56" i="11"/>
  <c r="F57" i="11"/>
  <c r="G58" i="11"/>
  <c r="E60" i="11"/>
  <c r="F61" i="11"/>
  <c r="G62" i="11"/>
  <c r="E64" i="11"/>
  <c r="F65" i="11"/>
  <c r="G66" i="11"/>
  <c r="E68" i="11"/>
  <c r="F69" i="11"/>
  <c r="E33" i="11"/>
  <c r="E37" i="11"/>
  <c r="F42" i="11"/>
  <c r="F46" i="11"/>
  <c r="G51" i="11"/>
  <c r="G55" i="11"/>
  <c r="G59" i="11"/>
  <c r="G63" i="11"/>
  <c r="G67" i="11"/>
  <c r="E31" i="11"/>
  <c r="F32" i="11"/>
  <c r="G33" i="11"/>
  <c r="E35" i="11"/>
  <c r="F36" i="11"/>
  <c r="G37" i="11"/>
  <c r="E39" i="11"/>
  <c r="F40" i="11"/>
  <c r="G41" i="11"/>
  <c r="E43" i="11"/>
  <c r="F44" i="11"/>
  <c r="G45" i="11"/>
  <c r="E47" i="11"/>
  <c r="F48" i="11"/>
  <c r="G49" i="11"/>
  <c r="E51" i="11"/>
  <c r="F52" i="11"/>
  <c r="G53" i="11"/>
  <c r="E55" i="11"/>
  <c r="F56" i="11"/>
  <c r="G57" i="11"/>
  <c r="E59" i="11"/>
  <c r="F60" i="11"/>
  <c r="G61" i="11"/>
  <c r="E63" i="11"/>
  <c r="F64" i="11"/>
  <c r="G65" i="11"/>
  <c r="E67" i="11"/>
  <c r="F68" i="11"/>
  <c r="G69" i="11"/>
  <c r="F30" i="11"/>
  <c r="F34" i="11"/>
  <c r="F38" i="11"/>
  <c r="E41" i="11"/>
  <c r="E45" i="11"/>
  <c r="E49" i="11"/>
  <c r="E53" i="11"/>
  <c r="E57" i="11"/>
  <c r="E61" i="11"/>
  <c r="F66" i="11"/>
  <c r="E30" i="11"/>
  <c r="F31" i="11"/>
  <c r="G32" i="11"/>
  <c r="E34" i="11"/>
  <c r="F35" i="11"/>
  <c r="G36" i="11"/>
  <c r="E38" i="11"/>
  <c r="F39" i="11"/>
  <c r="G40" i="11"/>
  <c r="E42" i="11"/>
  <c r="F43" i="11"/>
  <c r="G44" i="11"/>
  <c r="E46" i="11"/>
  <c r="F47" i="11"/>
  <c r="G48" i="11"/>
  <c r="E50" i="11"/>
  <c r="F51" i="11"/>
  <c r="G52" i="11"/>
  <c r="E54" i="11"/>
  <c r="F55" i="11"/>
  <c r="G56" i="11"/>
  <c r="E58" i="11"/>
  <c r="F59" i="11"/>
  <c r="G60" i="11"/>
  <c r="E62" i="11"/>
  <c r="F63" i="11"/>
  <c r="G64" i="11"/>
  <c r="E66" i="11"/>
  <c r="F67" i="11"/>
  <c r="G68" i="11"/>
  <c r="G31" i="11"/>
  <c r="G35" i="11"/>
  <c r="G39" i="11"/>
  <c r="G43" i="11"/>
  <c r="G47" i="11"/>
  <c r="F50" i="11"/>
  <c r="F54" i="11"/>
  <c r="F58" i="11"/>
  <c r="F62" i="11"/>
  <c r="E65" i="11"/>
  <c r="E69" i="11"/>
  <c r="D79" i="10"/>
  <c r="D78" i="10"/>
  <c r="D61" i="10"/>
  <c r="D58" i="10"/>
  <c r="D25" i="10"/>
  <c r="C80" i="10" l="1"/>
  <c r="C102" i="10"/>
  <c r="D102" i="10" s="1"/>
  <c r="D80" i="10" l="1"/>
  <c r="C103" i="10"/>
  <c r="D103" i="10" s="1"/>
  <c r="C86" i="10"/>
  <c r="C89" i="10" l="1"/>
  <c r="G17" i="11"/>
  <c r="C106" i="10"/>
  <c r="C88" i="10"/>
  <c r="C87" i="10"/>
  <c r="D106" i="10" l="1"/>
  <c r="C108" i="10"/>
  <c r="C114" i="10" s="1"/>
  <c r="G16" i="11" s="1"/>
  <c r="G22" i="11"/>
  <c r="G27" i="11"/>
  <c r="G29" i="11"/>
  <c r="G23" i="11"/>
  <c r="G26" i="11"/>
  <c r="G25" i="11"/>
  <c r="G28" i="11"/>
  <c r="G21" i="11"/>
  <c r="G24" i="11"/>
  <c r="G20" i="11"/>
  <c r="G70" i="11" l="1"/>
  <c r="C107" i="10"/>
  <c r="D108" i="10"/>
  <c r="F21" i="11"/>
  <c r="F26" i="11"/>
  <c r="F27" i="11"/>
  <c r="F25" i="11"/>
  <c r="F24" i="11"/>
  <c r="F23" i="11"/>
  <c r="F29" i="11"/>
  <c r="F22" i="11"/>
  <c r="F28" i="11"/>
  <c r="F20" i="11"/>
  <c r="C112" i="10"/>
  <c r="C116" i="10"/>
  <c r="C117" i="10"/>
  <c r="C115" i="10"/>
  <c r="D107" i="10"/>
  <c r="F70" i="11" l="1"/>
  <c r="C29" i="10"/>
  <c r="D29" i="10" s="1"/>
  <c r="C38" i="10"/>
  <c r="D38" i="10" s="1"/>
  <c r="C41" i="10"/>
  <c r="D41" i="10" s="1"/>
  <c r="D49" i="10"/>
  <c r="C39" i="10"/>
  <c r="D39" i="10" s="1"/>
  <c r="C37" i="10"/>
  <c r="D37" i="10" s="1"/>
  <c r="D53" i="10"/>
  <c r="C33" i="10"/>
  <c r="D33" i="10" s="1"/>
  <c r="C40" i="10"/>
  <c r="D40" i="10" s="1"/>
  <c r="D48" i="10"/>
  <c r="C34" i="10"/>
  <c r="D34" i="10" s="1"/>
  <c r="C32" i="10"/>
  <c r="D32" i="10" s="1"/>
  <c r="C35" i="10"/>
  <c r="D35" i="10" s="1"/>
  <c r="D52" i="10"/>
  <c r="C36" i="10"/>
  <c r="D36" i="10" s="1"/>
  <c r="D50" i="10"/>
  <c r="D51" i="10"/>
  <c r="C31" i="10"/>
  <c r="D31" i="10" s="1"/>
  <c r="D47" i="10"/>
  <c r="C27" i="10"/>
  <c r="D27" i="10" s="1"/>
  <c r="C30" i="10"/>
  <c r="C28" i="10"/>
  <c r="D28" i="10" s="1"/>
  <c r="C26" i="10"/>
  <c r="D26" i="10" l="1"/>
  <c r="C54" i="10"/>
  <c r="C59" i="10" s="1"/>
  <c r="D30" i="10"/>
  <c r="D54" i="10" l="1"/>
  <c r="D59" i="10"/>
  <c r="C60" i="10"/>
  <c r="D60" i="10" l="1"/>
  <c r="D62" i="10"/>
  <c r="C63" i="10"/>
  <c r="D63" i="10" l="1"/>
  <c r="C65" i="10"/>
  <c r="D65" i="10" s="1"/>
  <c r="C69" i="10"/>
  <c r="C17" i="10" l="1"/>
  <c r="C71" i="10"/>
  <c r="C64" i="10"/>
  <c r="D64" i="10" s="1"/>
  <c r="C73" i="10" l="1"/>
  <c r="C21" i="10"/>
  <c r="G15" i="11"/>
  <c r="C72" i="10"/>
  <c r="C74" i="10"/>
  <c r="I56" i="11"/>
  <c r="H56" i="11" s="1"/>
  <c r="I33" i="11"/>
  <c r="H33" i="11" s="1"/>
  <c r="I42" i="11"/>
  <c r="H42" i="11" s="1"/>
  <c r="I60" i="11"/>
  <c r="H60" i="11" s="1"/>
  <c r="I68" i="11"/>
  <c r="H68" i="11" s="1"/>
  <c r="I61" i="11"/>
  <c r="H61" i="11" s="1"/>
  <c r="I62" i="11"/>
  <c r="H62" i="11" s="1"/>
  <c r="I69" i="11"/>
  <c r="H69" i="11" s="1"/>
  <c r="I35" i="11"/>
  <c r="H35" i="11" s="1"/>
  <c r="I49" i="11"/>
  <c r="H49" i="11" s="1"/>
  <c r="I34" i="11"/>
  <c r="H34" i="11" s="1"/>
  <c r="I32" i="11"/>
  <c r="H32" i="11" s="1"/>
  <c r="I48" i="11"/>
  <c r="H48" i="11" s="1"/>
  <c r="I40" i="11"/>
  <c r="H40" i="11" s="1"/>
  <c r="I41" i="11"/>
  <c r="H41" i="11" s="1"/>
  <c r="I31" i="11"/>
  <c r="H31" i="11" s="1"/>
  <c r="I58" i="11"/>
  <c r="H58" i="11" s="1"/>
  <c r="I64" i="11"/>
  <c r="H64" i="11" s="1"/>
  <c r="I44" i="11"/>
  <c r="H44" i="11" s="1"/>
  <c r="I57" i="11"/>
  <c r="H57" i="11" s="1"/>
  <c r="I52" i="11"/>
  <c r="H52" i="11" s="1"/>
  <c r="I30" i="11"/>
  <c r="H30" i="11" s="1"/>
  <c r="I36" i="11"/>
  <c r="H36" i="11" s="1"/>
  <c r="I39" i="11"/>
  <c r="H39" i="11" s="1"/>
  <c r="I46" i="11"/>
  <c r="H46" i="11" s="1"/>
  <c r="I53" i="11"/>
  <c r="H53" i="11" s="1"/>
  <c r="I65" i="11"/>
  <c r="H65" i="11" s="1"/>
  <c r="I37" i="11"/>
  <c r="H37" i="11" s="1"/>
  <c r="I45" i="11"/>
  <c r="H45" i="11" s="1"/>
  <c r="I59" i="11"/>
  <c r="H59" i="11" s="1"/>
  <c r="I38" i="11"/>
  <c r="H38" i="11" s="1"/>
  <c r="I43" i="11"/>
  <c r="H43" i="11" s="1"/>
  <c r="I47" i="11"/>
  <c r="H47" i="11" s="1"/>
  <c r="I50" i="11"/>
  <c r="H50" i="11" s="1"/>
  <c r="I67" i="11"/>
  <c r="H67" i="11" s="1"/>
  <c r="I66" i="11"/>
  <c r="H66" i="11" s="1"/>
  <c r="I54" i="11"/>
  <c r="H54" i="11" s="1"/>
  <c r="I51" i="11"/>
  <c r="H51" i="11" s="1"/>
  <c r="I63" i="11"/>
  <c r="H63" i="11" s="1"/>
  <c r="I55" i="11"/>
  <c r="H55" i="11" s="1"/>
  <c r="E22" i="11" l="1"/>
  <c r="I22" i="11" s="1"/>
  <c r="H22" i="11" s="1"/>
  <c r="E28" i="11"/>
  <c r="I28" i="11" s="1"/>
  <c r="H28" i="11" s="1"/>
  <c r="E20" i="11"/>
  <c r="E27" i="11"/>
  <c r="I27" i="11" s="1"/>
  <c r="H27" i="11" s="1"/>
  <c r="E25" i="11"/>
  <c r="I25" i="11" s="1"/>
  <c r="H25" i="11" s="1"/>
  <c r="E26" i="11"/>
  <c r="I26" i="11" s="1"/>
  <c r="H26" i="11" s="1"/>
  <c r="E24" i="11"/>
  <c r="I24" i="11" s="1"/>
  <c r="H24" i="11" s="1"/>
  <c r="E23" i="11"/>
  <c r="I23" i="11" s="1"/>
  <c r="H23" i="11" s="1"/>
  <c r="E21" i="11"/>
  <c r="I21" i="11" s="1"/>
  <c r="H21" i="11" s="1"/>
  <c r="E29" i="11"/>
  <c r="I29" i="11" s="1"/>
  <c r="H29" i="11" s="1"/>
  <c r="I20" i="11"/>
  <c r="I70" i="11" l="1"/>
  <c r="E70" i="11"/>
  <c r="H20" i="11"/>
  <c r="H70" i="11" s="1"/>
  <c r="D70" i="11" l="1"/>
  <c r="C70" i="11"/>
</calcChain>
</file>

<file path=xl/comments1.xml><?xml version="1.0" encoding="utf-8"?>
<comments xmlns="http://schemas.openxmlformats.org/spreadsheetml/2006/main">
  <authors>
    <author>Marc</author>
  </authors>
  <commentList>
    <comment ref="B78" authorId="0" shapeId="0">
      <text>
        <r>
          <rPr>
            <b/>
            <sz val="9"/>
            <color indexed="81"/>
            <rFont val="Tahoma"/>
            <family val="2"/>
          </rPr>
          <t>Nas:</t>
        </r>
        <r>
          <rPr>
            <sz val="9"/>
            <color indexed="81"/>
            <rFont val="Tahoma"/>
            <family val="2"/>
          </rPr>
          <t xml:space="preserve">
Insurance quotes are normally provided incl. of GST. 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Nas:
Exclusive of GST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<sst xmlns="http://schemas.openxmlformats.org/spreadsheetml/2006/main" count="166" uniqueCount="119">
  <si>
    <t>Remarks</t>
  </si>
  <si>
    <t>Admin Fees and charges – Software Licencing Fee</t>
  </si>
  <si>
    <t>Fire protection services</t>
  </si>
  <si>
    <t>Garden &amp; lawn maintenance</t>
  </si>
  <si>
    <t>Insurance premiums - Building</t>
  </si>
  <si>
    <t>Insurance premiums – Stamp Duty Component</t>
  </si>
  <si>
    <t>Minor building maintenance</t>
  </si>
  <si>
    <t>Taxes Fees and Charges – Income tax preparation</t>
  </si>
  <si>
    <t>Sinking Fund Expenditure</t>
  </si>
  <si>
    <t>Prov. Capital Works</t>
  </si>
  <si>
    <t>Rate per Lot (Inc. GST)</t>
  </si>
  <si>
    <t xml:space="preserve">Number of lots </t>
  </si>
  <si>
    <t>Indicative amount</t>
  </si>
  <si>
    <t>Exclusive of GST</t>
  </si>
  <si>
    <t>Body Corporate Manager – Management fees</t>
  </si>
  <si>
    <t xml:space="preserve">Per annum: </t>
  </si>
  <si>
    <t>Per month:</t>
  </si>
  <si>
    <t>TOTAL SINKING FUND CONTRIBUTIONS TO BE RAISED</t>
  </si>
  <si>
    <t>TOTAL INSURANCE FUND CONTRIBUTIONS TO BE RAISED</t>
  </si>
  <si>
    <t>Per quarter:</t>
  </si>
  <si>
    <t>Allowance for levy discount</t>
  </si>
  <si>
    <t>Total Annual Contribution</t>
  </si>
  <si>
    <t>Per week:</t>
  </si>
  <si>
    <t>Total number of lots</t>
  </si>
  <si>
    <t>Quarterly</t>
  </si>
  <si>
    <t>Levy frequency</t>
  </si>
  <si>
    <t>Total Quarterly Contribution</t>
  </si>
  <si>
    <t>Insurance Fund Expenditure</t>
  </si>
  <si>
    <t>Total Budget (Inc. GST)</t>
  </si>
  <si>
    <t>Levy Period</t>
  </si>
  <si>
    <t>Budget          (Inc. GST)</t>
  </si>
  <si>
    <t>Budget          (Exc. GST)</t>
  </si>
  <si>
    <t>Administrative Fund Budget</t>
  </si>
  <si>
    <t>Lot/ Unit Number</t>
  </si>
  <si>
    <t>Schedule of Proposed Contributions</t>
  </si>
  <si>
    <t>Accountant - company tax returns</t>
  </si>
  <si>
    <t>Administrative Fees &amp; Charges - other</t>
  </si>
  <si>
    <t>Body Corporate Manager - Disbursements</t>
  </si>
  <si>
    <t>Body Corporate Manager - other</t>
  </si>
  <si>
    <t>Cleaning Service</t>
  </si>
  <si>
    <t>Consultant - Insurance Valuation Report</t>
  </si>
  <si>
    <t>Consultant - sinking fund forecast</t>
  </si>
  <si>
    <t>Legal Services - debt recovery</t>
  </si>
  <si>
    <t>Plumbing Maintenance</t>
  </si>
  <si>
    <t>Water - Rates</t>
  </si>
  <si>
    <t>Expenditure during budget period</t>
  </si>
  <si>
    <t>Administrative Fees &amp; Charges - document archival fee</t>
  </si>
  <si>
    <t>Administrative Fees &amp; Charges - meeting room booking</t>
  </si>
  <si>
    <t>Administrative Fees &amp; Charges - work order &amp; request for quote fee</t>
  </si>
  <si>
    <t>TABLE 1 - Administrative Fund budget (referable to Contribution Schedule Lot Entitlement)</t>
  </si>
  <si>
    <t>TOTAL ADMINISTRATIVE FUND CONTRIBUTIONS TO BE RAISED</t>
  </si>
  <si>
    <t>TOTAL ADMINISTRATIVE FUND EXPENDITURE BUDGET</t>
  </si>
  <si>
    <t>Total Annual Contribution (Inc. GST)</t>
  </si>
  <si>
    <t>Aggregate Contribution Schedule Entitlements (CSLE)</t>
  </si>
  <si>
    <t>Aggregate Interest Schedule Entitlements (ISLE)</t>
  </si>
  <si>
    <t>Administrative Fund Expenditure</t>
  </si>
  <si>
    <r>
      <rPr>
        <b/>
        <sz val="10"/>
        <color theme="1"/>
        <rFont val="Calibri"/>
        <family val="2"/>
        <scheme val="minor"/>
      </rPr>
      <t>LESS</t>
    </r>
    <r>
      <rPr>
        <sz val="10"/>
        <color theme="1"/>
        <rFont val="Calibri"/>
        <family val="2"/>
        <scheme val="minor"/>
      </rPr>
      <t xml:space="preserve"> Additional revenue during budget period</t>
    </r>
  </si>
  <si>
    <r>
      <rPr>
        <b/>
        <sz val="10"/>
        <color theme="1"/>
        <rFont val="Calibri"/>
        <family val="2"/>
        <scheme val="minor"/>
      </rPr>
      <t>PLUS</t>
    </r>
    <r>
      <rPr>
        <sz val="10"/>
        <color theme="1"/>
        <rFont val="Calibri"/>
        <family val="2"/>
        <scheme val="minor"/>
      </rPr>
      <t xml:space="preserve"> Amount of Planned reserve at the end of budget period</t>
    </r>
  </si>
  <si>
    <t xml:space="preserve">Per annum </t>
  </si>
  <si>
    <t>Per quarter</t>
  </si>
  <si>
    <t>Per month</t>
  </si>
  <si>
    <t>Per week</t>
  </si>
  <si>
    <t>Administrative Fund Contribution per CSLE</t>
  </si>
  <si>
    <t>Sinking Fund Contribution per CSLE</t>
  </si>
  <si>
    <t>Interest Schedule Lot Entitlements (ISLE)</t>
  </si>
  <si>
    <t xml:space="preserve"> Contribution Schedule Lot Entitlements (CSLE)</t>
  </si>
  <si>
    <t>Administrative Fund Rate per CSLE</t>
  </si>
  <si>
    <t>Sinking Fund Rate per CSLE</t>
  </si>
  <si>
    <t>Building Development Stage</t>
  </si>
  <si>
    <t>Total</t>
  </si>
  <si>
    <t>TABLE 3 - Administrative Fund CSLE per period</t>
  </si>
  <si>
    <t>Amount per ADMINISTRATIVE FUND CSLE (Incl. GST and allowance for discount)</t>
  </si>
  <si>
    <t>Amount per SINKING FUND CSLE (Incl. GST and allowance for discount)</t>
  </si>
  <si>
    <t>TABLE 2 - Administrative Fund Budget Summary</t>
  </si>
  <si>
    <t>Administrative Fund Budget Summary</t>
  </si>
  <si>
    <t>Sinking Fund Budget Summary</t>
  </si>
  <si>
    <t>Body Corporate for ……………... CTS …………….</t>
  </si>
  <si>
    <t>(Note if the budget is for BC development )</t>
  </si>
  <si>
    <t>For year (20.. - 20..)</t>
  </si>
  <si>
    <t>Amount per INSURANCE FUND ISLE (Exc. GST)</t>
  </si>
  <si>
    <t>Insurance Fund Contribution per ISLE</t>
  </si>
  <si>
    <t>Body Corporate for ... CTS ….</t>
  </si>
  <si>
    <t>For year commencing (20.. - 20..)</t>
  </si>
  <si>
    <t>Insurance Fund Rate per ISLE</t>
  </si>
  <si>
    <t>Amount per INSURANCE FUND ISLE (Incl. GST and allowance for discount)</t>
  </si>
  <si>
    <t>TOTAL SINKING FUND EXPENDITURE BUDGET</t>
  </si>
  <si>
    <t>ABN:</t>
  </si>
  <si>
    <t>93 958 056 336</t>
  </si>
  <si>
    <t>P:</t>
  </si>
  <si>
    <t>1300 882 072</t>
  </si>
  <si>
    <t>+61 7 3833 6808</t>
  </si>
  <si>
    <t>P.O. Box 3444</t>
  </si>
  <si>
    <t>Sunnybank South QLD 4109</t>
  </si>
  <si>
    <t>contactus@mercierbcs.com.au</t>
  </si>
  <si>
    <t>www.mercierbcs.com.au</t>
  </si>
  <si>
    <t>F:</t>
  </si>
  <si>
    <t>A:</t>
  </si>
  <si>
    <t>E:</t>
  </si>
  <si>
    <t>W:</t>
  </si>
  <si>
    <t>Amount per Administrative FUND CSLE (Exc. GST)</t>
  </si>
  <si>
    <t>TABLE 4 - Insurance Fund Budget (referable to interest schedule lot entitlement)</t>
  </si>
  <si>
    <t>TABLE 5 - Insurance Fund ISLE per period</t>
  </si>
  <si>
    <t>TABLE 6 - Sinking Fund Budget (referable to Contribution Schedule Lot Entitlement)</t>
  </si>
  <si>
    <t>TABLE 7 - Sinking Fund Budget Summary</t>
  </si>
  <si>
    <t>TABLE 8 - Sinking Fund CSLE per period</t>
  </si>
  <si>
    <t>Administrative Fees &amp; Charges - MyCommunity portal</t>
  </si>
  <si>
    <t>Administrative Fees &amp; Charges - MyCommunity portal set-up</t>
  </si>
  <si>
    <t>Lift maintenance</t>
  </si>
  <si>
    <t>Lift Telephone Charges</t>
  </si>
  <si>
    <t>Pest Control Services</t>
  </si>
  <si>
    <t xml:space="preserve">Strata Setup - New Scheme Set-Up Charges </t>
  </si>
  <si>
    <t xml:space="preserve">Strata Setup - New Scheme Stationery Set-Up </t>
  </si>
  <si>
    <t>Not for first year</t>
  </si>
  <si>
    <t>First year only</t>
  </si>
  <si>
    <t>First year under warranty</t>
  </si>
  <si>
    <r>
      <rPr>
        <b/>
        <sz val="10"/>
        <color theme="1"/>
        <rFont val="Calibri"/>
        <family val="2"/>
        <scheme val="minor"/>
      </rPr>
      <t>PLUS</t>
    </r>
    <r>
      <rPr>
        <sz val="10"/>
        <color theme="1"/>
        <rFont val="Calibri"/>
        <family val="2"/>
        <scheme val="minor"/>
      </rPr>
      <t xml:space="preserve"> Allowance for discount</t>
    </r>
  </si>
  <si>
    <t>Scheme registered under</t>
  </si>
  <si>
    <t>BFP</t>
  </si>
  <si>
    <t>SFP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</si>
</sst>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rgb="FF000000"/>
      <name val="Raleway"/>
      <family val="2"/>
    </font>
    <font>
      <b/>
      <sz val="6"/>
      <color theme="1"/>
      <name val="Raleway"/>
      <family val="2"/>
    </font>
    <font>
      <sz val="6"/>
      <color theme="1"/>
      <name val="Raleway"/>
      <family val="2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 style="medium">
        <color theme="3"/>
      </top>
      <bottom/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  <border>
      <left style="thin">
        <color theme="0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/>
    <xf numFmtId="164" fontId="7" fillId="2" borderId="3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textRotation="90" wrapText="1"/>
    </xf>
    <xf numFmtId="164" fontId="5" fillId="0" borderId="8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13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165" fontId="13" fillId="3" borderId="2" xfId="0" applyNumberFormat="1" applyFont="1" applyFill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left" vertical="center"/>
    </xf>
    <xf numFmtId="165" fontId="14" fillId="0" borderId="3" xfId="0" applyNumberFormat="1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 wrapText="1"/>
    </xf>
    <xf numFmtId="165" fontId="13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4"/>
    </xf>
    <xf numFmtId="0" fontId="1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165" fontId="14" fillId="4" borderId="12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65" fontId="14" fillId="4" borderId="15" xfId="0" applyNumberFormat="1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right" vertical="center"/>
    </xf>
    <xf numFmtId="165" fontId="14" fillId="4" borderId="16" xfId="0" applyNumberFormat="1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7" fillId="4" borderId="16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/>
    </xf>
    <xf numFmtId="9" fontId="1" fillId="3" borderId="2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20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5" fontId="7" fillId="4" borderId="15" xfId="0" applyNumberFormat="1" applyFont="1" applyFill="1" applyBorder="1" applyAlignment="1" applyProtection="1">
      <alignment horizontal="right" vertical="center"/>
    </xf>
    <xf numFmtId="9" fontId="7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0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&quot;$&quot;#,##0.00"/>
      <alignment horizontal="right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colors>
    <mruColors>
      <color rgb="FFFF2D2D"/>
      <color rgb="FFA23B38"/>
      <color rgb="FFFA7F58"/>
      <color rgb="FFFFBDBD"/>
      <color rgb="FFFD5331"/>
      <color rgb="FFF8B09A"/>
      <color rgb="FFF27750"/>
      <color rgb="FFFF3F3F"/>
      <color rgb="FFFF9797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2167648</xdr:colOff>
      <xdr:row>5</xdr:row>
      <xdr:rowOff>83159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648" cy="654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43573</xdr:colOff>
      <xdr:row>5</xdr:row>
      <xdr:rowOff>83159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648" cy="6546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6" name="Table377" displayName="Table377" ref="A24:E54" totalsRowShown="0" headerRowDxfId="63" dataDxfId="61" headerRowBorderDxfId="62" tableBorderDxfId="60" totalsRowBorderDxfId="59">
  <tableColumns count="5">
    <tableColumn id="1" name="Administrative Fund Expenditure" dataDxfId="58"/>
    <tableColumn id="3" name="Budget          (Exc. GST)" dataDxfId="57">
      <calculatedColumnFormula>Table377[[#This Row],[Budget          (Inc. GST)]]/1.1</calculatedColumnFormula>
    </tableColumn>
    <tableColumn id="4" name="Budget          (Inc. GST)" dataDxfId="56"/>
    <tableColumn id="5" name="Rate per Lot (Inc. GST)" dataDxfId="55">
      <calculatedColumnFormula>Table377[[#This Row],[Budget          (Inc. GST)]]/$C$15</calculatedColumnFormula>
    </tableColumn>
    <tableColumn id="2" name="Remarks" dataDxfId="5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77" name="Table478" displayName="Table478" ref="A92:E97" totalsRowShown="0" headerRowDxfId="53" dataDxfId="51" headerRowBorderDxfId="52" tableBorderDxfId="50" totalsRowBorderDxfId="49">
  <tableColumns count="5">
    <tableColumn id="1" name="Sinking Fund Expenditure" dataDxfId="48"/>
    <tableColumn id="3" name="Budget          (Exc. GST)" dataDxfId="47"/>
    <tableColumn id="4" name="Budget          (Inc. GST)" dataDxfId="46"/>
    <tableColumn id="5" name="Rate per Lot (Inc. GST)" dataDxfId="45">
      <calculatedColumnFormula>Table478[[#This Row],[Budget          (Inc. GST)]]/$C$15</calculatedColumnFormula>
    </tableColumn>
    <tableColumn id="2" name="Remarks" dataDxfId="44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8" name="Table579" displayName="Table579" ref="A77:E80" totalsRowShown="0" headerRowDxfId="43" dataDxfId="41" headerRowBorderDxfId="42" tableBorderDxfId="40" totalsRowBorderDxfId="39">
  <tableColumns count="5">
    <tableColumn id="1" name="Insurance Fund Expenditure" dataDxfId="38"/>
    <tableColumn id="2" name="Budget          (Exc. GST)" dataDxfId="37">
      <calculatedColumnFormula>Table579[[#This Row],[Budget          (Inc. GST)]]/1.1</calculatedColumnFormula>
    </tableColumn>
    <tableColumn id="3" name="Budget          (Inc. GST)" dataDxfId="36"/>
    <tableColumn id="4" name="Rate per Lot (Inc. GST)" dataDxfId="35">
      <calculatedColumnFormula>Table579[[#This Row],[Budget          (Inc. GST)]]/$C$15</calculatedColumnFormula>
    </tableColumn>
    <tableColumn id="5" name="Remarks" dataDxfId="34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1" name="Table4782" displayName="Table4782" ref="A100:E108" totalsRowShown="0" headerRowDxfId="33" dataDxfId="31" headerRowBorderDxfId="32" tableBorderDxfId="30" totalsRowBorderDxfId="29">
  <tableColumns count="5">
    <tableColumn id="1" name="Sinking Fund Budget Summary" dataDxfId="28"/>
    <tableColumn id="3" name="Budget          (Exc. GST)" dataDxfId="27">
      <calculatedColumnFormula>Table4782[[#This Row],[Budget          (Inc. GST)]]/1.1</calculatedColumnFormula>
    </tableColumn>
    <tableColumn id="4" name="Budget          (Inc. GST)" dataDxfId="26"/>
    <tableColumn id="5" name="Rate per Lot (Inc. GST)" dataDxfId="25">
      <calculatedColumnFormula>Table4782[[#This Row],[Budget          (Inc. GST)]]/$C$15</calculatedColumnFormula>
    </tableColumn>
    <tableColumn id="2" name="Remarks" dataDxfId="24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2" name="Table47823" displayName="Table47823" ref="A57:E65" totalsRowShown="0" headerRowDxfId="23" dataDxfId="21" headerRowBorderDxfId="22" tableBorderDxfId="20" totalsRowBorderDxfId="19">
  <tableColumns count="5">
    <tableColumn id="1" name="Administrative Fund Budget Summary" dataDxfId="18"/>
    <tableColumn id="5" name="Budget          (Exc. GST)" dataDxfId="17">
      <calculatedColumnFormula>Table47823[[#This Row],[Budget          (Inc. GST)]]/1.1</calculatedColumnFormula>
    </tableColumn>
    <tableColumn id="3" name="Budget          (Inc. GST)" dataDxfId="16"/>
    <tableColumn id="4" name="Rate per Lot (Inc. GST)" dataDxfId="15">
      <calculatedColumnFormula>Table47823[[#This Row],[Budget          (Inc. GST)]]/$C$15</calculatedColumnFormula>
    </tableColumn>
    <tableColumn id="2" name="Remarks" dataDxfId="14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19:I70" totalsRowShown="0" headerRowDxfId="13" dataDxfId="11" headerRowBorderDxfId="12" tableBorderDxfId="10" totalsRowBorderDxfId="9">
  <tableColumns count="9">
    <tableColumn id="1" name="Lot/ Unit Number" dataDxfId="8"/>
    <tableColumn id="2" name="Building Development Stage" dataDxfId="7"/>
    <tableColumn id="3" name=" Contribution Schedule Lot Entitlements (CSLE)" dataDxfId="6"/>
    <tableColumn id="4" name="Interest Schedule Lot Entitlements (ISLE)" dataDxfId="5"/>
    <tableColumn id="5" name="Administrative Fund Rate per CSLE" dataDxfId="4">
      <calculatedColumnFormula>IF(Table11[[#This Row],[Lot/ Unit Number]]&lt;=$G$13,$G$15*Table11[[#This Row],[ Contribution Schedule Lot Entitlements (CSLE)]],0)</calculatedColumnFormula>
    </tableColumn>
    <tableColumn id="6" name="Sinking Fund Rate per CSLE" dataDxfId="3"/>
    <tableColumn id="8" name="Insurance Fund Rate per ISLE" dataDxfId="2">
      <calculatedColumnFormula>IF(Table11[[#This Row],[Lot/ Unit Number]]&lt;=$G$13,$G$17*Table11[[#This Row],[Interest Schedule Lot Entitlements (ISLE)]],0)</calculatedColumnFormula>
    </tableColumn>
    <tableColumn id="9" name="Total Quarterly Contribution" dataDxfId="1"/>
    <tableColumn id="7" name="Total Annual Contribution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drawing" Target="../drawings/drawing1.xml"/><Relationship Id="rId7" Type="http://schemas.openxmlformats.org/officeDocument/2006/relationships/table" Target="../tables/table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rciercorporation.com.au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rciercorporation.com.au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7"/>
  <sheetViews>
    <sheetView zoomScaleNormal="100" workbookViewId="0">
      <selection activeCell="C14" sqref="C14"/>
    </sheetView>
  </sheetViews>
  <sheetFormatPr defaultColWidth="9" defaultRowHeight="15" x14ac:dyDescent="0.25"/>
  <cols>
    <col min="1" max="1" width="54.7109375" style="22" bestFit="1" customWidth="1"/>
    <col min="2" max="2" width="8.85546875" style="36" bestFit="1" customWidth="1"/>
    <col min="3" max="3" width="9.85546875" style="36" bestFit="1" customWidth="1"/>
    <col min="4" max="4" width="9" style="36" bestFit="1" customWidth="1"/>
    <col min="5" max="5" width="21.42578125" style="5" bestFit="1" customWidth="1"/>
    <col min="6" max="16384" width="9" style="22"/>
  </cols>
  <sheetData>
    <row r="1" spans="1:5" ht="9" customHeight="1" x14ac:dyDescent="0.25">
      <c r="D1" s="77" t="s">
        <v>86</v>
      </c>
      <c r="E1" s="75" t="s">
        <v>87</v>
      </c>
    </row>
    <row r="2" spans="1:5" ht="9" customHeight="1" x14ac:dyDescent="0.25">
      <c r="A2" s="53"/>
      <c r="B2" s="53"/>
      <c r="C2" s="53"/>
      <c r="D2" s="77" t="s">
        <v>88</v>
      </c>
      <c r="E2" s="75" t="s">
        <v>89</v>
      </c>
    </row>
    <row r="3" spans="1:5" ht="9" customHeight="1" x14ac:dyDescent="0.25">
      <c r="A3" s="53"/>
      <c r="B3" s="53"/>
      <c r="C3" s="53"/>
      <c r="D3" s="77" t="s">
        <v>95</v>
      </c>
      <c r="E3" s="75" t="s">
        <v>90</v>
      </c>
    </row>
    <row r="4" spans="1:5" ht="9" customHeight="1" x14ac:dyDescent="0.25">
      <c r="A4" s="53"/>
      <c r="B4" s="53"/>
      <c r="C4" s="53"/>
      <c r="D4" s="77" t="s">
        <v>96</v>
      </c>
      <c r="E4" s="75" t="s">
        <v>91</v>
      </c>
    </row>
    <row r="5" spans="1:5" ht="9" customHeight="1" x14ac:dyDescent="0.25">
      <c r="A5" s="53"/>
      <c r="B5" s="53"/>
      <c r="C5" s="53"/>
      <c r="D5" s="78"/>
      <c r="E5" s="75" t="s">
        <v>92</v>
      </c>
    </row>
    <row r="6" spans="1:5" ht="9" customHeight="1" x14ac:dyDescent="0.25">
      <c r="A6" s="53"/>
      <c r="B6" s="53"/>
      <c r="C6" s="53"/>
      <c r="D6" s="77" t="s">
        <v>97</v>
      </c>
      <c r="E6" s="76" t="s">
        <v>93</v>
      </c>
    </row>
    <row r="7" spans="1:5" ht="9" customHeight="1" x14ac:dyDescent="0.25">
      <c r="A7" s="53"/>
      <c r="B7" s="53"/>
      <c r="C7" s="53"/>
      <c r="D7" s="77" t="s">
        <v>98</v>
      </c>
      <c r="E7" s="76" t="s">
        <v>94</v>
      </c>
    </row>
    <row r="8" spans="1:5" ht="25.5" customHeight="1" x14ac:dyDescent="0.25">
      <c r="A8" s="53"/>
      <c r="B8" s="53"/>
      <c r="C8" s="53"/>
      <c r="D8" s="75"/>
      <c r="E8" s="76"/>
    </row>
    <row r="9" spans="1:5" ht="21" x14ac:dyDescent="0.25">
      <c r="A9" s="119" t="s">
        <v>76</v>
      </c>
      <c r="B9" s="119"/>
      <c r="C9" s="119"/>
      <c r="D9" s="119"/>
      <c r="E9" s="119"/>
    </row>
    <row r="10" spans="1:5" ht="21" x14ac:dyDescent="0.25">
      <c r="A10" s="119" t="s">
        <v>32</v>
      </c>
      <c r="B10" s="119"/>
      <c r="C10" s="119"/>
      <c r="D10" s="119"/>
      <c r="E10" s="119"/>
    </row>
    <row r="11" spans="1:5" ht="15.75" x14ac:dyDescent="0.25">
      <c r="A11" s="123" t="s">
        <v>77</v>
      </c>
      <c r="B11" s="123"/>
      <c r="C11" s="123"/>
      <c r="D11" s="123"/>
      <c r="E11" s="123"/>
    </row>
    <row r="12" spans="1:5" x14ac:dyDescent="0.25">
      <c r="A12" s="120" t="s">
        <v>78</v>
      </c>
      <c r="B12" s="120"/>
      <c r="C12" s="120"/>
      <c r="D12" s="120"/>
      <c r="E12" s="120"/>
    </row>
    <row r="13" spans="1:5" x14ac:dyDescent="0.25">
      <c r="A13" s="19"/>
      <c r="B13" s="3"/>
      <c r="C13" s="3"/>
    </row>
    <row r="14" spans="1:5" s="117" customFormat="1" x14ac:dyDescent="0.25">
      <c r="A14" s="124" t="s">
        <v>116</v>
      </c>
      <c r="B14" s="124"/>
      <c r="C14" s="116"/>
    </row>
    <row r="15" spans="1:5" customFormat="1" x14ac:dyDescent="0.25">
      <c r="A15" s="121" t="s">
        <v>11</v>
      </c>
      <c r="B15" s="121"/>
      <c r="C15" s="101">
        <v>1</v>
      </c>
    </row>
    <row r="16" spans="1:5" customFormat="1" x14ac:dyDescent="0.25">
      <c r="A16" s="122" t="s">
        <v>20</v>
      </c>
      <c r="B16" s="122"/>
      <c r="C16" s="102">
        <v>0</v>
      </c>
    </row>
    <row r="17" spans="1:5" customFormat="1" x14ac:dyDescent="0.25">
      <c r="A17" s="121" t="s">
        <v>28</v>
      </c>
      <c r="B17" s="121"/>
      <c r="C17" s="70">
        <f>C65+C80+C108</f>
        <v>3.3000000000000003</v>
      </c>
    </row>
    <row r="18" spans="1:5" s="5" customFormat="1" x14ac:dyDescent="0.25">
      <c r="A18" s="122" t="s">
        <v>29</v>
      </c>
      <c r="B18" s="122"/>
      <c r="C18" s="67" t="s">
        <v>24</v>
      </c>
      <c r="D18" s="36"/>
    </row>
    <row r="19" spans="1:5" s="5" customFormat="1" x14ac:dyDescent="0.25">
      <c r="A19" s="121" t="s">
        <v>53</v>
      </c>
      <c r="B19" s="121"/>
      <c r="C19" s="68">
        <v>1</v>
      </c>
      <c r="D19" s="36"/>
    </row>
    <row r="20" spans="1:5" s="5" customFormat="1" x14ac:dyDescent="0.25">
      <c r="A20" s="122" t="s">
        <v>54</v>
      </c>
      <c r="B20" s="122"/>
      <c r="C20" s="69">
        <v>1</v>
      </c>
      <c r="D20" s="36"/>
    </row>
    <row r="21" spans="1:5" s="5" customFormat="1" x14ac:dyDescent="0.25">
      <c r="A21" s="121" t="s">
        <v>52</v>
      </c>
      <c r="B21" s="121"/>
      <c r="C21" s="70">
        <f>C71+C114+C86</f>
        <v>3.3000000000000003</v>
      </c>
      <c r="D21" s="36"/>
    </row>
    <row r="22" spans="1:5" s="5" customFormat="1" x14ac:dyDescent="0.25">
      <c r="A22" s="18"/>
      <c r="B22" s="37"/>
      <c r="C22" s="37"/>
      <c r="D22" s="38"/>
      <c r="E22" s="4"/>
    </row>
    <row r="23" spans="1:5" s="5" customFormat="1" x14ac:dyDescent="0.25">
      <c r="A23" s="118" t="s">
        <v>49</v>
      </c>
      <c r="B23" s="118"/>
      <c r="C23" s="118"/>
      <c r="D23" s="38"/>
      <c r="E23" s="4"/>
    </row>
    <row r="24" spans="1:5" s="6" customFormat="1" ht="38.25" x14ac:dyDescent="0.25">
      <c r="A24" s="7" t="s">
        <v>55</v>
      </c>
      <c r="B24" s="62" t="s">
        <v>31</v>
      </c>
      <c r="C24" s="63" t="s">
        <v>30</v>
      </c>
      <c r="D24" s="63" t="s">
        <v>10</v>
      </c>
      <c r="E24" s="79" t="s">
        <v>0</v>
      </c>
    </row>
    <row r="25" spans="1:5" s="5" customFormat="1" x14ac:dyDescent="0.25">
      <c r="A25" s="103" t="s">
        <v>35</v>
      </c>
      <c r="B25" s="54">
        <v>1</v>
      </c>
      <c r="C25" s="54">
        <f>Table377[[#This Row],[Budget          (Exc. GST)]]*1.1</f>
        <v>1.1000000000000001</v>
      </c>
      <c r="D25" s="54">
        <f>Table377[[#This Row],[Budget          (Inc. GST)]]/$C$15</f>
        <v>1.1000000000000001</v>
      </c>
      <c r="E25" s="113"/>
    </row>
    <row r="26" spans="1:5" s="5" customFormat="1" x14ac:dyDescent="0.25">
      <c r="A26" s="104" t="s">
        <v>1</v>
      </c>
      <c r="B26" s="54">
        <v>0</v>
      </c>
      <c r="C26" s="54">
        <f>Table377[[#This Row],[Budget          (Exc. GST)]]*1.1</f>
        <v>0</v>
      </c>
      <c r="D26" s="54">
        <f>Table377[[#This Row],[Budget          (Inc. GST)]]/$C$15</f>
        <v>0</v>
      </c>
      <c r="E26" s="113"/>
    </row>
    <row r="27" spans="1:5" s="5" customFormat="1" x14ac:dyDescent="0.25">
      <c r="A27" s="103" t="s">
        <v>46</v>
      </c>
      <c r="B27" s="54">
        <v>0</v>
      </c>
      <c r="C27" s="54">
        <f>Table377[[#This Row],[Budget          (Exc. GST)]]*1.1</f>
        <v>0</v>
      </c>
      <c r="D27" s="54">
        <f>Table377[[#This Row],[Budget          (Inc. GST)]]/$C$15</f>
        <v>0</v>
      </c>
      <c r="E27" s="113" t="s">
        <v>112</v>
      </c>
    </row>
    <row r="28" spans="1:5" s="5" customFormat="1" x14ac:dyDescent="0.25">
      <c r="A28" s="103" t="s">
        <v>47</v>
      </c>
      <c r="B28" s="54">
        <v>0</v>
      </c>
      <c r="C28" s="54">
        <f>Table377[[#This Row],[Budget          (Exc. GST)]]*1.1</f>
        <v>0</v>
      </c>
      <c r="D28" s="54">
        <f>Table377[[#This Row],[Budget          (Inc. GST)]]/$C$15</f>
        <v>0</v>
      </c>
      <c r="E28" s="113"/>
    </row>
    <row r="29" spans="1:5" s="5" customFormat="1" x14ac:dyDescent="0.25">
      <c r="A29" s="105" t="s">
        <v>105</v>
      </c>
      <c r="B29" s="54">
        <v>0</v>
      </c>
      <c r="C29" s="54">
        <f>Table377[[#This Row],[Budget          (Exc. GST)]]*1.1</f>
        <v>0</v>
      </c>
      <c r="D29" s="54">
        <f>Table377[[#This Row],[Budget          (Inc. GST)]]/$C$15</f>
        <v>0</v>
      </c>
      <c r="E29" s="113"/>
    </row>
    <row r="30" spans="1:5" s="5" customFormat="1" x14ac:dyDescent="0.25">
      <c r="A30" s="106" t="s">
        <v>106</v>
      </c>
      <c r="B30" s="54">
        <v>0</v>
      </c>
      <c r="C30" s="54">
        <f>Table377[[#This Row],[Budget          (Exc. GST)]]*1.1</f>
        <v>0</v>
      </c>
      <c r="D30" s="54">
        <f>Table377[[#This Row],[Budget          (Inc. GST)]]/$C$15</f>
        <v>0</v>
      </c>
      <c r="E30" s="113" t="s">
        <v>113</v>
      </c>
    </row>
    <row r="31" spans="1:5" s="5" customFormat="1" x14ac:dyDescent="0.25">
      <c r="A31" s="103" t="s">
        <v>36</v>
      </c>
      <c r="B31" s="54">
        <v>0</v>
      </c>
      <c r="C31" s="54">
        <f>Table377[[#This Row],[Budget          (Exc. GST)]]*1.1</f>
        <v>0</v>
      </c>
      <c r="D31" s="54">
        <f>Table377[[#This Row],[Budget          (Inc. GST)]]/$C$15</f>
        <v>0</v>
      </c>
      <c r="E31" s="113"/>
    </row>
    <row r="32" spans="1:5" s="5" customFormat="1" x14ac:dyDescent="0.25">
      <c r="A32" s="106" t="s">
        <v>48</v>
      </c>
      <c r="B32" s="54">
        <v>0</v>
      </c>
      <c r="C32" s="54">
        <f>Table377[[#This Row],[Budget          (Exc. GST)]]*1.1</f>
        <v>0</v>
      </c>
      <c r="D32" s="54">
        <f>Table377[[#This Row],[Budget          (Inc. GST)]]/$C$15</f>
        <v>0</v>
      </c>
      <c r="E32" s="113"/>
    </row>
    <row r="33" spans="1:5" s="5" customFormat="1" x14ac:dyDescent="0.25">
      <c r="A33" s="103" t="s">
        <v>37</v>
      </c>
      <c r="B33" s="54">
        <v>0</v>
      </c>
      <c r="C33" s="54">
        <f>Table377[[#This Row],[Budget          (Exc. GST)]]*1.1</f>
        <v>0</v>
      </c>
      <c r="D33" s="54">
        <f>Table377[[#This Row],[Budget          (Inc. GST)]]/$C$15</f>
        <v>0</v>
      </c>
      <c r="E33" s="113"/>
    </row>
    <row r="34" spans="1:5" s="5" customFormat="1" x14ac:dyDescent="0.25">
      <c r="A34" s="103" t="s">
        <v>14</v>
      </c>
      <c r="B34" s="54">
        <v>0</v>
      </c>
      <c r="C34" s="54">
        <f>Table377[[#This Row],[Budget          (Exc. GST)]]*1.1</f>
        <v>0</v>
      </c>
      <c r="D34" s="54">
        <f>Table377[[#This Row],[Budget          (Inc. GST)]]/$C$15</f>
        <v>0</v>
      </c>
      <c r="E34" s="113"/>
    </row>
    <row r="35" spans="1:5" s="5" customFormat="1" x14ac:dyDescent="0.25">
      <c r="A35" s="103" t="s">
        <v>38</v>
      </c>
      <c r="B35" s="54">
        <v>0</v>
      </c>
      <c r="C35" s="54">
        <f>Table377[[#This Row],[Budget          (Exc. GST)]]*1.1</f>
        <v>0</v>
      </c>
      <c r="D35" s="54">
        <f>Table377[[#This Row],[Budget          (Inc. GST)]]/$C$15</f>
        <v>0</v>
      </c>
      <c r="E35" s="113"/>
    </row>
    <row r="36" spans="1:5" s="5" customFormat="1" x14ac:dyDescent="0.25">
      <c r="A36" s="103" t="s">
        <v>39</v>
      </c>
      <c r="B36" s="54">
        <v>0</v>
      </c>
      <c r="C36" s="54">
        <f>Table377[[#This Row],[Budget          (Exc. GST)]]*1.1</f>
        <v>0</v>
      </c>
      <c r="D36" s="54">
        <f>Table377[[#This Row],[Budget          (Inc. GST)]]/$C$15</f>
        <v>0</v>
      </c>
      <c r="E36" s="113"/>
    </row>
    <row r="37" spans="1:5" s="5" customFormat="1" x14ac:dyDescent="0.25">
      <c r="A37" s="103" t="s">
        <v>40</v>
      </c>
      <c r="B37" s="54">
        <v>0</v>
      </c>
      <c r="C37" s="54">
        <f>Table377[[#This Row],[Budget          (Exc. GST)]]*1.1</f>
        <v>0</v>
      </c>
      <c r="D37" s="54">
        <f>Table377[[#This Row],[Budget          (Inc. GST)]]/$C$15</f>
        <v>0</v>
      </c>
      <c r="E37" s="113" t="s">
        <v>112</v>
      </c>
    </row>
    <row r="38" spans="1:5" s="5" customFormat="1" x14ac:dyDescent="0.25">
      <c r="A38" s="103" t="s">
        <v>41</v>
      </c>
      <c r="B38" s="54">
        <v>0</v>
      </c>
      <c r="C38" s="54">
        <f>Table377[[#This Row],[Budget          (Exc. GST)]]*1.1</f>
        <v>0</v>
      </c>
      <c r="D38" s="54">
        <f>Table377[[#This Row],[Budget          (Inc. GST)]]/$C$15</f>
        <v>0</v>
      </c>
      <c r="E38" s="113" t="s">
        <v>112</v>
      </c>
    </row>
    <row r="39" spans="1:5" s="5" customFormat="1" x14ac:dyDescent="0.25">
      <c r="A39" s="103" t="s">
        <v>2</v>
      </c>
      <c r="B39" s="54">
        <v>0</v>
      </c>
      <c r="C39" s="54">
        <f>Table377[[#This Row],[Budget          (Exc. GST)]]*1.1</f>
        <v>0</v>
      </c>
      <c r="D39" s="54">
        <f>Table377[[#This Row],[Budget          (Inc. GST)]]/$C$15</f>
        <v>0</v>
      </c>
      <c r="E39" s="113"/>
    </row>
    <row r="40" spans="1:5" s="5" customFormat="1" x14ac:dyDescent="0.25">
      <c r="A40" s="103" t="s">
        <v>3</v>
      </c>
      <c r="B40" s="54">
        <v>0</v>
      </c>
      <c r="C40" s="54">
        <f>Table377[[#This Row],[Budget          (Exc. GST)]]*1.1</f>
        <v>0</v>
      </c>
      <c r="D40" s="54">
        <f>Table377[[#This Row],[Budget          (Inc. GST)]]/$C$15</f>
        <v>0</v>
      </c>
      <c r="E40" s="113"/>
    </row>
    <row r="41" spans="1:5" s="27" customFormat="1" x14ac:dyDescent="0.25">
      <c r="A41" s="103" t="s">
        <v>42</v>
      </c>
      <c r="B41" s="54">
        <v>0</v>
      </c>
      <c r="C41" s="54">
        <f>Table377[[#This Row],[Budget          (Exc. GST)]]*1.1</f>
        <v>0</v>
      </c>
      <c r="D41" s="54">
        <f>Table377[[#This Row],[Budget          (Inc. GST)]]/$C$15</f>
        <v>0</v>
      </c>
      <c r="E41" s="113"/>
    </row>
    <row r="42" spans="1:5" s="27" customFormat="1" x14ac:dyDescent="0.25">
      <c r="A42" s="107" t="s">
        <v>107</v>
      </c>
      <c r="B42" s="54">
        <v>0</v>
      </c>
      <c r="C42" s="54">
        <f>Table377[[#This Row],[Budget          (Exc. GST)]]*1.1</f>
        <v>0</v>
      </c>
      <c r="D42" s="109">
        <f>Table377[[#This Row],[Budget          (Inc. GST)]]/$C$15</f>
        <v>0</v>
      </c>
      <c r="E42" s="113"/>
    </row>
    <row r="43" spans="1:5" s="27" customFormat="1" x14ac:dyDescent="0.25">
      <c r="A43" s="108" t="s">
        <v>108</v>
      </c>
      <c r="B43" s="54">
        <v>0</v>
      </c>
      <c r="C43" s="54">
        <f>Table377[[#This Row],[Budget          (Exc. GST)]]*1.1</f>
        <v>0</v>
      </c>
      <c r="D43" s="109">
        <f>Table377[[#This Row],[Budget          (Inc. GST)]]/$C$15</f>
        <v>0</v>
      </c>
      <c r="E43" s="113"/>
    </row>
    <row r="44" spans="1:5" s="27" customFormat="1" x14ac:dyDescent="0.25">
      <c r="A44" s="103" t="s">
        <v>6</v>
      </c>
      <c r="B44" s="54">
        <v>0</v>
      </c>
      <c r="C44" s="54">
        <f>Table377[[#This Row],[Budget          (Exc. GST)]]*1.1</f>
        <v>0</v>
      </c>
      <c r="D44" s="109">
        <f>Table377[[#This Row],[Budget          (Inc. GST)]]/$C$15</f>
        <v>0</v>
      </c>
      <c r="E44" s="113"/>
    </row>
    <row r="45" spans="1:5" s="27" customFormat="1" x14ac:dyDescent="0.25">
      <c r="A45" s="108" t="s">
        <v>109</v>
      </c>
      <c r="B45" s="54">
        <v>0</v>
      </c>
      <c r="C45" s="54">
        <f>Table377[[#This Row],[Budget          (Exc. GST)]]*1.1</f>
        <v>0</v>
      </c>
      <c r="D45" s="109">
        <f>Table377[[#This Row],[Budget          (Inc. GST)]]/$C$15</f>
        <v>0</v>
      </c>
      <c r="E45" s="114" t="s">
        <v>114</v>
      </c>
    </row>
    <row r="46" spans="1:5" s="27" customFormat="1" x14ac:dyDescent="0.25">
      <c r="A46" s="108" t="s">
        <v>43</v>
      </c>
      <c r="B46" s="54">
        <v>0</v>
      </c>
      <c r="C46" s="54">
        <f>Table377[[#This Row],[Budget          (Exc. GST)]]*1.1</f>
        <v>0</v>
      </c>
      <c r="D46" s="109">
        <f>Table377[[#This Row],[Budget          (Inc. GST)]]/$C$15</f>
        <v>0</v>
      </c>
      <c r="E46" s="113" t="s">
        <v>114</v>
      </c>
    </row>
    <row r="47" spans="1:5" s="27" customFormat="1" x14ac:dyDescent="0.25">
      <c r="A47" s="104" t="s">
        <v>110</v>
      </c>
      <c r="B47" s="54">
        <v>0</v>
      </c>
      <c r="C47" s="54">
        <f>Table377[[#This Row],[Budget          (Exc. GST)]]*1.1</f>
        <v>0</v>
      </c>
      <c r="D47" s="39">
        <f>Table377[[#This Row],[Budget          (Inc. GST)]]/$C$15</f>
        <v>0</v>
      </c>
      <c r="E47" s="113" t="s">
        <v>113</v>
      </c>
    </row>
    <row r="48" spans="1:5" s="27" customFormat="1" x14ac:dyDescent="0.25">
      <c r="A48" s="104" t="s">
        <v>111</v>
      </c>
      <c r="B48" s="54">
        <v>0</v>
      </c>
      <c r="C48" s="54">
        <f>Table377[[#This Row],[Budget          (Exc. GST)]]*1.1</f>
        <v>0</v>
      </c>
      <c r="D48" s="39">
        <f>Table377[[#This Row],[Budget          (Inc. GST)]]/$C$15</f>
        <v>0</v>
      </c>
      <c r="E48" s="113" t="s">
        <v>113</v>
      </c>
    </row>
    <row r="49" spans="1:6" s="27" customFormat="1" x14ac:dyDescent="0.25">
      <c r="A49" s="108" t="s">
        <v>7</v>
      </c>
      <c r="B49" s="54">
        <v>0</v>
      </c>
      <c r="C49" s="54">
        <f>Table377[[#This Row],[Budget          (Exc. GST)]]*1.1</f>
        <v>0</v>
      </c>
      <c r="D49" s="39">
        <f>Table377[[#This Row],[Budget          (Inc. GST)]]/$C$15</f>
        <v>0</v>
      </c>
      <c r="E49" s="80"/>
    </row>
    <row r="50" spans="1:6" s="27" customFormat="1" x14ac:dyDescent="0.25">
      <c r="A50" s="108" t="s">
        <v>44</v>
      </c>
      <c r="B50" s="54">
        <v>0</v>
      </c>
      <c r="C50" s="54">
        <f>Table377[[#This Row],[Budget          (Exc. GST)]]*1.1</f>
        <v>0</v>
      </c>
      <c r="D50" s="39">
        <f>Table377[[#This Row],[Budget          (Inc. GST)]]/$C$15</f>
        <v>0</v>
      </c>
      <c r="E50" s="80"/>
    </row>
    <row r="51" spans="1:6" s="27" customFormat="1" x14ac:dyDescent="0.25">
      <c r="A51" s="25"/>
      <c r="B51" s="54">
        <v>0</v>
      </c>
      <c r="C51" s="54">
        <f>Table377[[#This Row],[Budget          (Exc. GST)]]*1.1</f>
        <v>0</v>
      </c>
      <c r="D51" s="39">
        <f>Table377[[#This Row],[Budget          (Inc. GST)]]/$C$15</f>
        <v>0</v>
      </c>
      <c r="E51" s="80"/>
    </row>
    <row r="52" spans="1:6" s="27" customFormat="1" x14ac:dyDescent="0.25">
      <c r="A52" s="25"/>
      <c r="B52" s="54">
        <v>0</v>
      </c>
      <c r="C52" s="54">
        <f>Table377[[#This Row],[Budget          (Exc. GST)]]*1.1</f>
        <v>0</v>
      </c>
      <c r="D52" s="39">
        <f>Table377[[#This Row],[Budget          (Inc. GST)]]/$C$15</f>
        <v>0</v>
      </c>
      <c r="E52" s="80"/>
    </row>
    <row r="53" spans="1:6" s="27" customFormat="1" ht="15.75" thickBot="1" x14ac:dyDescent="0.3">
      <c r="A53" s="28"/>
      <c r="B53" s="54">
        <v>0</v>
      </c>
      <c r="C53" s="54">
        <f>Table377[[#This Row],[Budget          (Exc. GST)]]*1.1</f>
        <v>0</v>
      </c>
      <c r="D53" s="45">
        <f>Table377[[#This Row],[Budget          (Inc. GST)]]/$C$15</f>
        <v>0</v>
      </c>
      <c r="E53" s="81"/>
    </row>
    <row r="54" spans="1:6" s="29" customFormat="1" x14ac:dyDescent="0.25">
      <c r="A54" s="90" t="s">
        <v>51</v>
      </c>
      <c r="B54" s="91">
        <f>SUBTOTAL(109,B25:B53)</f>
        <v>1</v>
      </c>
      <c r="C54" s="91">
        <f>SUBTOTAL(109,C25:C53)</f>
        <v>1.1000000000000001</v>
      </c>
      <c r="D54" s="91">
        <f>SUBTOTAL(109,D25:D53)</f>
        <v>1.1000000000000001</v>
      </c>
      <c r="E54" s="92"/>
    </row>
    <row r="55" spans="1:6" s="5" customFormat="1" x14ac:dyDescent="0.25">
      <c r="B55" s="36"/>
      <c r="C55" s="36"/>
      <c r="D55" s="36"/>
    </row>
    <row r="56" spans="1:6" s="5" customFormat="1" x14ac:dyDescent="0.25">
      <c r="A56" s="118" t="s">
        <v>73</v>
      </c>
      <c r="B56" s="118"/>
      <c r="C56" s="118"/>
      <c r="D56" s="36"/>
    </row>
    <row r="57" spans="1:6" s="6" customFormat="1" ht="38.25" x14ac:dyDescent="0.25">
      <c r="A57" s="7" t="s">
        <v>74</v>
      </c>
      <c r="B57" s="62" t="s">
        <v>31</v>
      </c>
      <c r="C57" s="62" t="s">
        <v>30</v>
      </c>
      <c r="D57" s="62" t="s">
        <v>10</v>
      </c>
      <c r="E57" s="79" t="s">
        <v>0</v>
      </c>
    </row>
    <row r="58" spans="1:6" s="30" customFormat="1" x14ac:dyDescent="0.25">
      <c r="A58" s="112" t="str">
        <f>IF(Table47823[[#This Row],[Budget          (Inc. GST)]]&gt;0, "Opening balance (Surplus)", IF(Table47823[[#This Row],[Budget          (Inc. GST)]]=0,"Opening balance","Opening balance (Deficit)" ))</f>
        <v>Opening balance</v>
      </c>
      <c r="B58" s="41">
        <v>0</v>
      </c>
      <c r="C58" s="41">
        <f>Table47823[[#This Row],[Budget          (Exc. GST)]]*1.1</f>
        <v>0</v>
      </c>
      <c r="D58" s="41">
        <f>Table47823[[#This Row],[Budget          (Inc. GST)]]/$C$15</f>
        <v>0</v>
      </c>
      <c r="E58" s="85"/>
    </row>
    <row r="59" spans="1:6" s="30" customFormat="1" x14ac:dyDescent="0.25">
      <c r="A59" s="31" t="s">
        <v>45</v>
      </c>
      <c r="B59" s="41">
        <f>B54</f>
        <v>1</v>
      </c>
      <c r="C59" s="41">
        <f>C54</f>
        <v>1.1000000000000001</v>
      </c>
      <c r="D59" s="41">
        <f>Table47823[[#This Row],[Budget          (Inc. GST)]]/$C$15</f>
        <v>1.1000000000000001</v>
      </c>
      <c r="E59" s="59"/>
    </row>
    <row r="60" spans="1:6" s="30" customFormat="1" x14ac:dyDescent="0.25">
      <c r="A60" s="23"/>
      <c r="B60" s="42">
        <f>SUBTOTAL(109,B58:B59)</f>
        <v>1</v>
      </c>
      <c r="C60" s="42">
        <f>C59-C58</f>
        <v>1.1000000000000001</v>
      </c>
      <c r="D60" s="57">
        <f>Table47823[[#This Row],[Budget          (Inc. GST)]]/$C$15</f>
        <v>1.1000000000000001</v>
      </c>
      <c r="E60" s="60"/>
      <c r="F60" s="33"/>
    </row>
    <row r="61" spans="1:6" s="30" customFormat="1" x14ac:dyDescent="0.25">
      <c r="A61" s="31" t="s">
        <v>56</v>
      </c>
      <c r="B61" s="41">
        <v>0</v>
      </c>
      <c r="C61" s="41">
        <f>Table47823[[#This Row],[Budget          (Exc. GST)]]*1.1</f>
        <v>0</v>
      </c>
      <c r="D61" s="41">
        <f>Table47823[[#This Row],[Budget          (Inc. GST)]]/$C$15</f>
        <v>0</v>
      </c>
      <c r="E61" s="59"/>
    </row>
    <row r="62" spans="1:6" s="30" customFormat="1" x14ac:dyDescent="0.25">
      <c r="A62" s="31" t="s">
        <v>57</v>
      </c>
      <c r="B62" s="41">
        <v>0</v>
      </c>
      <c r="C62" s="41">
        <f>Table47823[[#This Row],[Budget          (Exc. GST)]]*1.1</f>
        <v>0</v>
      </c>
      <c r="D62" s="41">
        <f>Table47823[[#This Row],[Budget          (Inc. GST)]]/$C$15</f>
        <v>0</v>
      </c>
      <c r="E62" s="86"/>
    </row>
    <row r="63" spans="1:6" s="30" customFormat="1" x14ac:dyDescent="0.25">
      <c r="A63" s="32"/>
      <c r="B63" s="43">
        <f>B62-B61+B60</f>
        <v>1</v>
      </c>
      <c r="C63" s="43">
        <f>C62-C61+C60</f>
        <v>1.1000000000000001</v>
      </c>
      <c r="D63" s="43">
        <f>Table47823[[#This Row],[Budget          (Inc. GST)]]/$C$15</f>
        <v>1.1000000000000001</v>
      </c>
      <c r="E63" s="61"/>
      <c r="F63" s="33"/>
    </row>
    <row r="64" spans="1:6" s="5" customFormat="1" ht="15.75" thickBot="1" x14ac:dyDescent="0.3">
      <c r="A64" s="87" t="s">
        <v>115</v>
      </c>
      <c r="B64" s="88">
        <f>B65-B63</f>
        <v>0</v>
      </c>
      <c r="C64" s="88">
        <f>C65-C63</f>
        <v>0</v>
      </c>
      <c r="D64" s="40">
        <f>Table47823[[#This Row],[Budget          (Inc. GST)]]/$C$15</f>
        <v>0</v>
      </c>
      <c r="E64" s="89"/>
    </row>
    <row r="65" spans="1:5" s="2" customFormat="1" x14ac:dyDescent="0.25">
      <c r="A65" s="93" t="s">
        <v>50</v>
      </c>
      <c r="B65" s="94">
        <f>B63/(1-$C$16)</f>
        <v>1</v>
      </c>
      <c r="C65" s="94">
        <f>C63/(1-$C$16)</f>
        <v>1.1000000000000001</v>
      </c>
      <c r="D65" s="94">
        <f>Table47823[[#This Row],[Budget          (Inc. GST)]]/$C$15</f>
        <v>1.1000000000000001</v>
      </c>
      <c r="E65" s="95"/>
    </row>
    <row r="66" spans="1:5" s="5" customFormat="1" x14ac:dyDescent="0.25">
      <c r="A66" s="4"/>
      <c r="B66" s="38"/>
      <c r="C66" s="38"/>
      <c r="D66" s="38"/>
      <c r="E66" s="4"/>
    </row>
    <row r="67" spans="1:5" s="5" customFormat="1" x14ac:dyDescent="0.25">
      <c r="A67" s="118" t="s">
        <v>70</v>
      </c>
      <c r="B67" s="118"/>
      <c r="C67" s="118"/>
      <c r="D67" s="38"/>
      <c r="E67" s="4"/>
    </row>
    <row r="68" spans="1:5" s="5" customFormat="1" x14ac:dyDescent="0.25">
      <c r="A68" s="125" t="s">
        <v>99</v>
      </c>
      <c r="B68" s="125"/>
      <c r="C68" s="125"/>
      <c r="D68" s="38"/>
    </row>
    <row r="69" spans="1:5" s="5" customFormat="1" x14ac:dyDescent="0.25">
      <c r="A69" s="126" t="s">
        <v>15</v>
      </c>
      <c r="B69" s="126"/>
      <c r="C69" s="96">
        <f>B65/C19</f>
        <v>1</v>
      </c>
      <c r="D69" s="38"/>
    </row>
    <row r="70" spans="1:5" s="5" customFormat="1" x14ac:dyDescent="0.25">
      <c r="A70" s="125" t="s">
        <v>71</v>
      </c>
      <c r="B70" s="125"/>
      <c r="C70" s="125"/>
    </row>
    <row r="71" spans="1:5" s="5" customFormat="1" x14ac:dyDescent="0.25">
      <c r="A71" s="126" t="s">
        <v>58</v>
      </c>
      <c r="B71" s="126"/>
      <c r="C71" s="96">
        <f>C65/C19</f>
        <v>1.1000000000000001</v>
      </c>
    </row>
    <row r="72" spans="1:5" s="5" customFormat="1" x14ac:dyDescent="0.25">
      <c r="A72" s="126" t="s">
        <v>59</v>
      </c>
      <c r="B72" s="126"/>
      <c r="C72" s="96">
        <f>C71/4</f>
        <v>0.27500000000000002</v>
      </c>
    </row>
    <row r="73" spans="1:5" s="5" customFormat="1" x14ac:dyDescent="0.25">
      <c r="A73" s="126" t="s">
        <v>60</v>
      </c>
      <c r="B73" s="126"/>
      <c r="C73" s="96">
        <f>C71/12</f>
        <v>9.1666666666666674E-2</v>
      </c>
      <c r="D73" s="38"/>
    </row>
    <row r="74" spans="1:5" s="5" customFormat="1" x14ac:dyDescent="0.25">
      <c r="A74" s="126" t="s">
        <v>61</v>
      </c>
      <c r="B74" s="126"/>
      <c r="C74" s="96">
        <f>C71/52</f>
        <v>2.1153846153846155E-2</v>
      </c>
      <c r="D74" s="38"/>
    </row>
    <row r="75" spans="1:5" s="5" customFormat="1" x14ac:dyDescent="0.25">
      <c r="A75" s="21"/>
      <c r="B75" s="44"/>
      <c r="C75" s="44"/>
      <c r="D75" s="38"/>
      <c r="E75" s="4"/>
    </row>
    <row r="76" spans="1:5" s="5" customFormat="1" x14ac:dyDescent="0.25">
      <c r="A76" s="118" t="s">
        <v>100</v>
      </c>
      <c r="B76" s="118"/>
      <c r="C76" s="118"/>
      <c r="D76" s="38"/>
      <c r="E76" s="4"/>
    </row>
    <row r="77" spans="1:5" s="6" customFormat="1" ht="38.25" x14ac:dyDescent="0.25">
      <c r="A77" s="7" t="s">
        <v>27</v>
      </c>
      <c r="B77" s="62" t="s">
        <v>31</v>
      </c>
      <c r="C77" s="62" t="s">
        <v>30</v>
      </c>
      <c r="D77" s="62" t="s">
        <v>10</v>
      </c>
      <c r="E77" s="20" t="s">
        <v>0</v>
      </c>
    </row>
    <row r="78" spans="1:5" s="5" customFormat="1" x14ac:dyDescent="0.25">
      <c r="A78" s="23" t="s">
        <v>4</v>
      </c>
      <c r="B78" s="110">
        <v>1</v>
      </c>
      <c r="C78" s="111">
        <f>Table579[[#This Row],[Budget          (Exc. GST)]]*1.1</f>
        <v>1.1000000000000001</v>
      </c>
      <c r="D78" s="39">
        <f>Table579[[#This Row],[Budget          (Inc. GST)]]/$C$15</f>
        <v>1.1000000000000001</v>
      </c>
      <c r="E78" s="26" t="s">
        <v>12</v>
      </c>
    </row>
    <row r="79" spans="1:5" s="5" customFormat="1" ht="15.75" thickBot="1" x14ac:dyDescent="0.3">
      <c r="A79" s="23" t="s">
        <v>5</v>
      </c>
      <c r="B79" s="111">
        <v>0</v>
      </c>
      <c r="C79" s="110">
        <f>Table579[[#This Row],[Budget          (Exc. GST)]]</f>
        <v>0</v>
      </c>
      <c r="D79" s="39">
        <f>Table579[[#This Row],[Budget          (Inc. GST)]]/$C$15</f>
        <v>0</v>
      </c>
      <c r="E79" s="26" t="s">
        <v>13</v>
      </c>
    </row>
    <row r="80" spans="1:5" s="2" customFormat="1" x14ac:dyDescent="0.25">
      <c r="A80" s="90" t="s">
        <v>18</v>
      </c>
      <c r="B80" s="94">
        <f>SUBTOTAL(109,B78:B79)</f>
        <v>1</v>
      </c>
      <c r="C80" s="94">
        <f>SUBTOTAL(109,C78:C79)</f>
        <v>1.1000000000000001</v>
      </c>
      <c r="D80" s="94">
        <f>Table579[[#This Row],[Budget          (Inc. GST)]]/$C$15</f>
        <v>1.1000000000000001</v>
      </c>
      <c r="E80" s="97"/>
    </row>
    <row r="81" spans="1:5" s="5" customFormat="1" x14ac:dyDescent="0.25">
      <c r="A81" s="34"/>
      <c r="B81" s="46"/>
      <c r="C81" s="46"/>
      <c r="D81" s="46"/>
      <c r="E81" s="4"/>
    </row>
    <row r="82" spans="1:5" s="5" customFormat="1" x14ac:dyDescent="0.25">
      <c r="A82" s="118" t="s">
        <v>101</v>
      </c>
      <c r="B82" s="118"/>
      <c r="C82" s="118"/>
      <c r="D82" s="38"/>
      <c r="E82" s="4"/>
    </row>
    <row r="83" spans="1:5" s="5" customFormat="1" x14ac:dyDescent="0.25">
      <c r="A83" s="125" t="s">
        <v>79</v>
      </c>
      <c r="B83" s="125"/>
      <c r="C83" s="125"/>
      <c r="D83" s="38"/>
    </row>
    <row r="84" spans="1:5" s="5" customFormat="1" x14ac:dyDescent="0.25">
      <c r="A84" s="126" t="s">
        <v>15</v>
      </c>
      <c r="B84" s="126"/>
      <c r="C84" s="96">
        <f>B80/C20</f>
        <v>1</v>
      </c>
      <c r="D84" s="38"/>
    </row>
    <row r="85" spans="1:5" s="5" customFormat="1" x14ac:dyDescent="0.25">
      <c r="A85" s="125" t="s">
        <v>84</v>
      </c>
      <c r="B85" s="125"/>
      <c r="C85" s="125"/>
      <c r="D85" s="38"/>
    </row>
    <row r="86" spans="1:5" s="5" customFormat="1" x14ac:dyDescent="0.25">
      <c r="A86" s="126" t="s">
        <v>15</v>
      </c>
      <c r="B86" s="126"/>
      <c r="C86" s="96">
        <f>C80/C20</f>
        <v>1.1000000000000001</v>
      </c>
      <c r="D86" s="38"/>
    </row>
    <row r="87" spans="1:5" s="5" customFormat="1" x14ac:dyDescent="0.25">
      <c r="A87" s="126" t="s">
        <v>19</v>
      </c>
      <c r="B87" s="126"/>
      <c r="C87" s="96">
        <f>C86/4</f>
        <v>0.27500000000000002</v>
      </c>
      <c r="D87" s="38"/>
    </row>
    <row r="88" spans="1:5" s="5" customFormat="1" x14ac:dyDescent="0.25">
      <c r="A88" s="126" t="s">
        <v>16</v>
      </c>
      <c r="B88" s="126"/>
      <c r="C88" s="96">
        <f>C86/12</f>
        <v>9.1666666666666674E-2</v>
      </c>
      <c r="D88" s="38"/>
    </row>
    <row r="89" spans="1:5" s="5" customFormat="1" x14ac:dyDescent="0.25">
      <c r="A89" s="126" t="s">
        <v>22</v>
      </c>
      <c r="B89" s="126"/>
      <c r="C89" s="96">
        <f>C86/52</f>
        <v>2.1153846153846155E-2</v>
      </c>
      <c r="D89" s="38"/>
    </row>
    <row r="90" spans="1:5" customFormat="1" ht="22.5" customHeight="1" x14ac:dyDescent="0.25"/>
    <row r="91" spans="1:5" s="5" customFormat="1" x14ac:dyDescent="0.25">
      <c r="A91" s="118" t="s">
        <v>102</v>
      </c>
      <c r="B91" s="118"/>
      <c r="C91" s="118"/>
      <c r="D91" s="38"/>
      <c r="E91" s="4"/>
    </row>
    <row r="92" spans="1:5" s="6" customFormat="1" ht="38.25" x14ac:dyDescent="0.25">
      <c r="A92" s="7" t="s">
        <v>8</v>
      </c>
      <c r="B92" s="62" t="s">
        <v>31</v>
      </c>
      <c r="C92" s="63" t="s">
        <v>30</v>
      </c>
      <c r="D92" s="63" t="s">
        <v>10</v>
      </c>
      <c r="E92" s="79" t="s">
        <v>0</v>
      </c>
    </row>
    <row r="93" spans="1:5" s="5" customFormat="1" x14ac:dyDescent="0.25">
      <c r="A93" s="24" t="s">
        <v>9</v>
      </c>
      <c r="B93" s="111">
        <v>1</v>
      </c>
      <c r="C93" s="110">
        <f>Table478[[#This Row],[Budget          (Exc. GST)]]*1.1</f>
        <v>1.1000000000000001</v>
      </c>
      <c r="D93" s="39">
        <f>Table478[[#This Row],[Budget          (Inc. GST)]]/$C$15</f>
        <v>1.1000000000000001</v>
      </c>
      <c r="E93" s="55"/>
    </row>
    <row r="94" spans="1:5" s="5" customFormat="1" x14ac:dyDescent="0.25">
      <c r="A94" s="24"/>
      <c r="B94" s="111">
        <v>0</v>
      </c>
      <c r="C94" s="110">
        <f>Table478[[#This Row],[Budget          (Exc. GST)]]*1.1</f>
        <v>0</v>
      </c>
      <c r="D94" s="39">
        <f>Table478[[#This Row],[Budget          (Inc. GST)]]/$C$15</f>
        <v>0</v>
      </c>
      <c r="E94" s="98"/>
    </row>
    <row r="95" spans="1:5" s="5" customFormat="1" x14ac:dyDescent="0.25">
      <c r="A95" s="24"/>
      <c r="B95" s="111">
        <v>0</v>
      </c>
      <c r="C95" s="110">
        <f>Table478[[#This Row],[Budget          (Exc. GST)]]*1.1</f>
        <v>0</v>
      </c>
      <c r="D95" s="39">
        <f>Table478[[#This Row],[Budget          (Inc. GST)]]/$C$15</f>
        <v>0</v>
      </c>
      <c r="E95" s="98"/>
    </row>
    <row r="96" spans="1:5" s="5" customFormat="1" ht="15.75" thickBot="1" x14ac:dyDescent="0.3">
      <c r="A96" s="35"/>
      <c r="B96" s="111">
        <v>0</v>
      </c>
      <c r="C96" s="110">
        <f>Table478[[#This Row],[Budget          (Exc. GST)]]*1.1</f>
        <v>0</v>
      </c>
      <c r="D96" s="39">
        <f>Table478[[#This Row],[Budget          (Inc. GST)]]/$C$15</f>
        <v>0</v>
      </c>
      <c r="E96" s="99"/>
    </row>
    <row r="97" spans="1:5" s="2" customFormat="1" x14ac:dyDescent="0.25">
      <c r="A97" s="90" t="s">
        <v>85</v>
      </c>
      <c r="B97" s="115">
        <f>SUBTOTAL(109,B93:B96)</f>
        <v>1</v>
      </c>
      <c r="C97" s="115">
        <f>SUBTOTAL(109,C93:C96)</f>
        <v>1.1000000000000001</v>
      </c>
      <c r="D97" s="115">
        <f>Table478[[#This Row],[Budget          (Inc. GST)]]/$C$15</f>
        <v>1.1000000000000001</v>
      </c>
      <c r="E97" s="95"/>
    </row>
    <row r="98" spans="1:5" s="5" customFormat="1" x14ac:dyDescent="0.25">
      <c r="A98" s="4"/>
      <c r="B98" s="38"/>
      <c r="C98" s="38"/>
      <c r="D98" s="38"/>
      <c r="E98" s="4"/>
    </row>
    <row r="99" spans="1:5" s="5" customFormat="1" x14ac:dyDescent="0.25">
      <c r="A99" s="118" t="s">
        <v>103</v>
      </c>
      <c r="B99" s="118"/>
      <c r="C99" s="118"/>
      <c r="D99" s="38"/>
      <c r="E99" s="4"/>
    </row>
    <row r="100" spans="1:5" s="64" customFormat="1" ht="38.25" x14ac:dyDescent="0.25">
      <c r="A100" s="7" t="s">
        <v>75</v>
      </c>
      <c r="B100" s="62" t="s">
        <v>31</v>
      </c>
      <c r="C100" s="63" t="s">
        <v>30</v>
      </c>
      <c r="D100" s="63" t="s">
        <v>10</v>
      </c>
      <c r="E100" s="79" t="s">
        <v>0</v>
      </c>
    </row>
    <row r="101" spans="1:5" s="30" customFormat="1" x14ac:dyDescent="0.25">
      <c r="A101" s="84" t="str">
        <f>IF(Table4782[[#This Row],[Budget          (Inc. GST)]]&gt;0, "Opening balance (Surplus)", IF(Table4782[[#This Row],[Budget          (Inc. GST)]]=0,"Opening balance","Opening balance (Deficit)" ))</f>
        <v>Opening balance</v>
      </c>
      <c r="B101" s="73">
        <v>0</v>
      </c>
      <c r="C101" s="56">
        <f>Table4782[[#This Row],[Budget          (Exc. GST)]]*1.1</f>
        <v>0</v>
      </c>
      <c r="D101" s="56">
        <f>Table4782[[#This Row],[Budget          (Inc. GST)]]/$C$15</f>
        <v>0</v>
      </c>
      <c r="E101" s="85"/>
    </row>
    <row r="102" spans="1:5" s="30" customFormat="1" x14ac:dyDescent="0.25">
      <c r="A102" s="31" t="s">
        <v>45</v>
      </c>
      <c r="B102" s="74">
        <f>B97</f>
        <v>1</v>
      </c>
      <c r="C102" s="56">
        <f>C97</f>
        <v>1.1000000000000001</v>
      </c>
      <c r="D102" s="39">
        <f>Table4782[[#This Row],[Budget          (Inc. GST)]]/$C$15</f>
        <v>1.1000000000000001</v>
      </c>
      <c r="E102" s="59"/>
    </row>
    <row r="103" spans="1:5" s="30" customFormat="1" x14ac:dyDescent="0.25">
      <c r="A103" s="23"/>
      <c r="B103" s="57">
        <f>SUM(B102-B101)</f>
        <v>1</v>
      </c>
      <c r="C103" s="57">
        <f>SUM(C102-C101)</f>
        <v>1.1000000000000001</v>
      </c>
      <c r="D103" s="58">
        <f>Table4782[[#This Row],[Budget          (Inc. GST)]]/$C$15</f>
        <v>1.1000000000000001</v>
      </c>
      <c r="E103" s="60"/>
    </row>
    <row r="104" spans="1:5" s="30" customFormat="1" x14ac:dyDescent="0.25">
      <c r="A104" s="31" t="s">
        <v>56</v>
      </c>
      <c r="B104" s="74">
        <v>0</v>
      </c>
      <c r="C104" s="56">
        <f>Table4782[[#This Row],[Budget          (Exc. GST)]]*1.1</f>
        <v>0</v>
      </c>
      <c r="D104" s="39">
        <f>Table4782[[#This Row],[Budget          (Inc. GST)]]/$C$15</f>
        <v>0</v>
      </c>
      <c r="E104" s="59"/>
    </row>
    <row r="105" spans="1:5" s="30" customFormat="1" x14ac:dyDescent="0.25">
      <c r="A105" s="31" t="s">
        <v>57</v>
      </c>
      <c r="B105" s="73">
        <v>0</v>
      </c>
      <c r="C105" s="56">
        <f>Table4782[[#This Row],[Budget          (Exc. GST)]]*1.1</f>
        <v>0</v>
      </c>
      <c r="D105" s="56">
        <f>Table4782[[#This Row],[Budget          (Inc. GST)]]/$C$15</f>
        <v>0</v>
      </c>
      <c r="E105" s="86"/>
    </row>
    <row r="106" spans="1:5" s="30" customFormat="1" x14ac:dyDescent="0.25">
      <c r="A106" s="32"/>
      <c r="B106" s="58">
        <f>B105-B104+B103</f>
        <v>1</v>
      </c>
      <c r="C106" s="58">
        <f>C105-C104+C103</f>
        <v>1.1000000000000001</v>
      </c>
      <c r="D106" s="58">
        <f>Table4782[[#This Row],[Budget          (Inc. GST)]]/$C$15</f>
        <v>1.1000000000000001</v>
      </c>
      <c r="E106" s="61"/>
    </row>
    <row r="107" spans="1:5" s="5" customFormat="1" ht="15.75" thickBot="1" x14ac:dyDescent="0.3">
      <c r="A107" s="87" t="s">
        <v>115</v>
      </c>
      <c r="B107" s="65">
        <f>B108-B106</f>
        <v>0</v>
      </c>
      <c r="C107" s="65">
        <f>C108-C106</f>
        <v>0</v>
      </c>
      <c r="D107" s="56">
        <f>Table4782[[#This Row],[Budget          (Inc. GST)]]/$C$15</f>
        <v>0</v>
      </c>
      <c r="E107" s="89"/>
    </row>
    <row r="108" spans="1:5" s="2" customFormat="1" ht="15.75" thickBot="1" x14ac:dyDescent="0.3">
      <c r="A108" s="82" t="s">
        <v>17</v>
      </c>
      <c r="B108" s="83">
        <f>B106/(1-$C$16)</f>
        <v>1</v>
      </c>
      <c r="C108" s="83">
        <f>C106/(1-$C$16)</f>
        <v>1.1000000000000001</v>
      </c>
      <c r="D108" s="83">
        <f>Table4782[[#This Row],[Budget          (Inc. GST)]]/$C$15</f>
        <v>1.1000000000000001</v>
      </c>
      <c r="E108" s="100"/>
    </row>
    <row r="109" spans="1:5" s="5" customFormat="1" x14ac:dyDescent="0.25">
      <c r="A109" s="4"/>
      <c r="B109" s="38"/>
      <c r="C109" s="38"/>
      <c r="D109" s="38"/>
      <c r="E109" s="4"/>
    </row>
    <row r="110" spans="1:5" s="5" customFormat="1" x14ac:dyDescent="0.25">
      <c r="A110" s="118" t="s">
        <v>104</v>
      </c>
      <c r="B110" s="118"/>
      <c r="C110" s="118"/>
      <c r="D110" s="47"/>
      <c r="E110" s="4"/>
    </row>
    <row r="111" spans="1:5" s="5" customFormat="1" x14ac:dyDescent="0.25">
      <c r="A111" s="125" t="s">
        <v>99</v>
      </c>
      <c r="B111" s="125"/>
      <c r="C111" s="125"/>
      <c r="D111" s="38"/>
    </row>
    <row r="112" spans="1:5" s="5" customFormat="1" x14ac:dyDescent="0.25">
      <c r="A112" s="126" t="s">
        <v>15</v>
      </c>
      <c r="B112" s="126"/>
      <c r="C112" s="96">
        <f>B108/C19</f>
        <v>1</v>
      </c>
      <c r="D112" s="38"/>
    </row>
    <row r="113" spans="1:4" s="5" customFormat="1" x14ac:dyDescent="0.25">
      <c r="A113" s="125" t="s">
        <v>72</v>
      </c>
      <c r="B113" s="125"/>
      <c r="C113" s="125"/>
    </row>
    <row r="114" spans="1:4" s="5" customFormat="1" x14ac:dyDescent="0.25">
      <c r="A114" s="126" t="s">
        <v>58</v>
      </c>
      <c r="B114" s="126"/>
      <c r="C114" s="96">
        <f>C108/C19</f>
        <v>1.1000000000000001</v>
      </c>
    </row>
    <row r="115" spans="1:4" s="5" customFormat="1" x14ac:dyDescent="0.25">
      <c r="A115" s="126" t="s">
        <v>59</v>
      </c>
      <c r="B115" s="126"/>
      <c r="C115" s="96">
        <f>C114/4</f>
        <v>0.27500000000000002</v>
      </c>
    </row>
    <row r="116" spans="1:4" s="5" customFormat="1" x14ac:dyDescent="0.25">
      <c r="A116" s="126" t="s">
        <v>60</v>
      </c>
      <c r="B116" s="126"/>
      <c r="C116" s="96">
        <f>C114/12</f>
        <v>9.1666666666666674E-2</v>
      </c>
      <c r="D116" s="38"/>
    </row>
    <row r="117" spans="1:4" s="5" customFormat="1" x14ac:dyDescent="0.25">
      <c r="A117" s="126" t="s">
        <v>61</v>
      </c>
      <c r="B117" s="126"/>
      <c r="C117" s="96">
        <f>C114/52</f>
        <v>2.1153846153846155E-2</v>
      </c>
      <c r="D117" s="38"/>
    </row>
  </sheetData>
  <sheetProtection algorithmName="SHA-512" hashValue="uJM1Vo//AhpLsE+sNgIkaS87vM8Gj1Uq38f2eQV4d1l05RmQ+pc6zVKDe6GLKRq8YFRtO4aLclP8tibBvfeEyw==" saltValue="Kb2nlG/ygD31/eaITzzsRg==" spinCount="100000" sheet="1" formatCells="0" formatColumns="0" formatRows="0" insertColumns="0" insertRows="0" insertHyperlinks="0" deleteColumns="0" deleteRows="0" sort="0" autoFilter="0" pivotTables="0"/>
  <mergeCells count="41">
    <mergeCell ref="A115:B115"/>
    <mergeCell ref="A116:B116"/>
    <mergeCell ref="A117:B117"/>
    <mergeCell ref="A113:C113"/>
    <mergeCell ref="A68:C68"/>
    <mergeCell ref="A69:B69"/>
    <mergeCell ref="A111:C111"/>
    <mergeCell ref="A112:B112"/>
    <mergeCell ref="A85:C85"/>
    <mergeCell ref="A87:B87"/>
    <mergeCell ref="A89:B89"/>
    <mergeCell ref="A88:B88"/>
    <mergeCell ref="A114:B114"/>
    <mergeCell ref="A91:C91"/>
    <mergeCell ref="A76:C76"/>
    <mergeCell ref="A99:C99"/>
    <mergeCell ref="A110:C110"/>
    <mergeCell ref="A70:C70"/>
    <mergeCell ref="A71:B71"/>
    <mergeCell ref="A72:B72"/>
    <mergeCell ref="A73:B73"/>
    <mergeCell ref="A74:B74"/>
    <mergeCell ref="A83:C83"/>
    <mergeCell ref="A84:B84"/>
    <mergeCell ref="A86:B86"/>
    <mergeCell ref="A82:C82"/>
    <mergeCell ref="A67:C67"/>
    <mergeCell ref="A9:E9"/>
    <mergeCell ref="A10:E10"/>
    <mergeCell ref="A12:E12"/>
    <mergeCell ref="A23:C23"/>
    <mergeCell ref="A56:C56"/>
    <mergeCell ref="A15:B15"/>
    <mergeCell ref="A16:B16"/>
    <mergeCell ref="A17:B17"/>
    <mergeCell ref="A18:B18"/>
    <mergeCell ref="A19:B19"/>
    <mergeCell ref="A20:B20"/>
    <mergeCell ref="A21:B21"/>
    <mergeCell ref="A11:E11"/>
    <mergeCell ref="A14:B14"/>
  </mergeCells>
  <hyperlinks>
    <hyperlink ref="E6" r:id="rId1" display="info@merciercorporation.com.au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2"/>
  <headerFooter>
    <oddFooter>&amp;L&amp;"-,Italic"&amp;6Page &amp;P of &amp;N&amp;C&amp;"-,Italic"&amp;6[SCHEME NAME] Budgets (2017-201) 8|&amp;D&amp;R&amp;"-,Italic"&amp;6Mercier Body Corporate Services ©2017</oddFooter>
  </headerFooter>
  <ignoredErrors>
    <ignoredError sqref="D83:D89 D98 D73:D76 D116:D155 D66 D91 D81 B58:B60 B54:D54 B41:B53 B26:B40 B61:B62 B101:B106 B107:B108 B79 B80 B63:B65" calculatedColumn="1"/>
  </ignoredErrors>
  <drawing r:id="rId3"/>
  <legacyDrawing r:id="rId4"/>
  <tableParts count="5"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Help!$B$3:$B$4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N22" sqref="N22"/>
    </sheetView>
  </sheetViews>
  <sheetFormatPr defaultColWidth="9" defaultRowHeight="12.75" x14ac:dyDescent="0.2"/>
  <cols>
    <col min="1" max="4" width="5.5703125" style="1" customWidth="1"/>
    <col min="5" max="9" width="9.5703125" style="1" customWidth="1"/>
    <col min="10" max="10" width="15.5703125" style="1" customWidth="1"/>
    <col min="11" max="16384" width="9" style="1"/>
  </cols>
  <sheetData>
    <row r="1" spans="1:15" s="22" customFormat="1" ht="9" customHeight="1" x14ac:dyDescent="0.25">
      <c r="B1" s="36"/>
      <c r="C1" s="36"/>
      <c r="I1" s="77" t="s">
        <v>86</v>
      </c>
      <c r="J1" s="75" t="s">
        <v>87</v>
      </c>
    </row>
    <row r="2" spans="1:15" s="22" customFormat="1" ht="9" customHeight="1" x14ac:dyDescent="0.25">
      <c r="A2" s="66"/>
      <c r="B2" s="66"/>
      <c r="C2" s="66"/>
      <c r="I2" s="77" t="s">
        <v>88</v>
      </c>
      <c r="J2" s="75" t="s">
        <v>89</v>
      </c>
    </row>
    <row r="3" spans="1:15" s="22" customFormat="1" ht="9" customHeight="1" x14ac:dyDescent="0.25">
      <c r="A3" s="66"/>
      <c r="B3" s="66"/>
      <c r="C3" s="66"/>
      <c r="I3" s="77" t="s">
        <v>95</v>
      </c>
      <c r="J3" s="75" t="s">
        <v>90</v>
      </c>
    </row>
    <row r="4" spans="1:15" s="22" customFormat="1" ht="9" customHeight="1" x14ac:dyDescent="0.25">
      <c r="A4" s="66"/>
      <c r="B4" s="66"/>
      <c r="C4" s="66"/>
      <c r="I4" s="77" t="s">
        <v>96</v>
      </c>
      <c r="J4" s="75" t="s">
        <v>91</v>
      </c>
    </row>
    <row r="5" spans="1:15" s="22" customFormat="1" ht="9" customHeight="1" x14ac:dyDescent="0.25">
      <c r="A5" s="66"/>
      <c r="B5" s="66"/>
      <c r="C5" s="66"/>
      <c r="I5" s="78"/>
      <c r="J5" s="75" t="s">
        <v>92</v>
      </c>
    </row>
    <row r="6" spans="1:15" s="22" customFormat="1" ht="9" customHeight="1" x14ac:dyDescent="0.25">
      <c r="A6" s="66"/>
      <c r="B6" s="66"/>
      <c r="C6" s="66"/>
      <c r="I6" s="77" t="s">
        <v>97</v>
      </c>
      <c r="J6" s="76" t="s">
        <v>93</v>
      </c>
    </row>
    <row r="7" spans="1:15" s="22" customFormat="1" ht="9" customHeight="1" x14ac:dyDescent="0.25">
      <c r="A7" s="66"/>
      <c r="B7" s="66"/>
      <c r="C7" s="66"/>
      <c r="I7" s="77" t="s">
        <v>98</v>
      </c>
      <c r="J7" s="76" t="s">
        <v>94</v>
      </c>
    </row>
    <row r="8" spans="1:15" ht="21" customHeight="1" x14ac:dyDescent="0.2">
      <c r="F8" s="8"/>
      <c r="G8" s="8"/>
    </row>
    <row r="9" spans="1:15" customFormat="1" ht="36" customHeight="1" x14ac:dyDescent="0.25">
      <c r="A9" s="131" t="s">
        <v>81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5" s="22" customFormat="1" ht="21" customHeight="1" x14ac:dyDescent="0.25">
      <c r="A10" s="132" t="s">
        <v>77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5" customFormat="1" ht="20.25" customHeight="1" x14ac:dyDescent="0.25">
      <c r="A11" s="132" t="s">
        <v>34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5" customFormat="1" ht="33" customHeight="1" x14ac:dyDescent="0.25">
      <c r="A12" s="133" t="s">
        <v>82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5" ht="15.95" customHeight="1" x14ac:dyDescent="0.2">
      <c r="A13" s="134" t="s">
        <v>23</v>
      </c>
      <c r="B13" s="135"/>
      <c r="C13" s="135"/>
      <c r="D13" s="135"/>
      <c r="E13" s="135"/>
      <c r="F13" s="135"/>
      <c r="G13" s="15">
        <f>Budget!C15</f>
        <v>1</v>
      </c>
    </row>
    <row r="14" spans="1:15" ht="15.95" customHeight="1" x14ac:dyDescent="0.2">
      <c r="A14" s="129" t="s">
        <v>25</v>
      </c>
      <c r="B14" s="130"/>
      <c r="C14" s="130"/>
      <c r="D14" s="130"/>
      <c r="E14" s="130"/>
      <c r="F14" s="130"/>
      <c r="G14" s="71" t="str">
        <f>Budget!C18</f>
        <v>Quarterly</v>
      </c>
      <c r="K14" s="123"/>
      <c r="L14" s="123"/>
      <c r="M14" s="123"/>
      <c r="N14" s="123"/>
      <c r="O14" s="123"/>
    </row>
    <row r="15" spans="1:15" ht="15.95" customHeight="1" x14ac:dyDescent="0.2">
      <c r="A15" s="136" t="s">
        <v>62</v>
      </c>
      <c r="B15" s="137"/>
      <c r="C15" s="137"/>
      <c r="D15" s="137"/>
      <c r="E15" s="137"/>
      <c r="F15" s="137"/>
      <c r="G15" s="9">
        <f>Budget!C71</f>
        <v>1.1000000000000001</v>
      </c>
    </row>
    <row r="16" spans="1:15" ht="15.95" customHeight="1" x14ac:dyDescent="0.2">
      <c r="A16" s="129" t="s">
        <v>63</v>
      </c>
      <c r="B16" s="130"/>
      <c r="C16" s="130"/>
      <c r="D16" s="130"/>
      <c r="E16" s="130"/>
      <c r="F16" s="130"/>
      <c r="G16" s="72">
        <f>Budget!C114</f>
        <v>1.1000000000000001</v>
      </c>
    </row>
    <row r="17" spans="1:9" ht="15.95" customHeight="1" x14ac:dyDescent="0.2">
      <c r="A17" s="127" t="s">
        <v>80</v>
      </c>
      <c r="B17" s="127"/>
      <c r="C17" s="127"/>
      <c r="D17" s="127"/>
      <c r="E17" s="127"/>
      <c r="F17" s="128"/>
      <c r="G17" s="10">
        <f>Budget!C86</f>
        <v>1.1000000000000001</v>
      </c>
    </row>
    <row r="18" spans="1:9" ht="29.25" customHeight="1" x14ac:dyDescent="0.2"/>
    <row r="19" spans="1:9" s="50" customFormat="1" ht="132.4" customHeight="1" x14ac:dyDescent="0.25">
      <c r="A19" s="49" t="s">
        <v>33</v>
      </c>
      <c r="B19" s="48" t="s">
        <v>68</v>
      </c>
      <c r="C19" s="48" t="s">
        <v>65</v>
      </c>
      <c r="D19" s="48" t="s">
        <v>64</v>
      </c>
      <c r="E19" s="48" t="s">
        <v>66</v>
      </c>
      <c r="F19" s="48" t="s">
        <v>67</v>
      </c>
      <c r="G19" s="48" t="s">
        <v>83</v>
      </c>
      <c r="H19" s="48" t="s">
        <v>26</v>
      </c>
      <c r="I19" s="48" t="s">
        <v>21</v>
      </c>
    </row>
    <row r="20" spans="1:9" s="14" customFormat="1" ht="14.45" customHeight="1" x14ac:dyDescent="0.25">
      <c r="A20" s="11">
        <v>1</v>
      </c>
      <c r="B20" s="12">
        <v>1</v>
      </c>
      <c r="C20" s="12">
        <v>1</v>
      </c>
      <c r="D20" s="12">
        <v>1</v>
      </c>
      <c r="E20" s="13">
        <f>IF(Table11[[#This Row],[Lot/ Unit Number]]&lt;=$G$13,$G$15*Table11[[#This Row],[ Contribution Schedule Lot Entitlements (CSLE)]],0)</f>
        <v>1.1000000000000001</v>
      </c>
      <c r="F20" s="13">
        <f>IF(Table11[[#This Row],[Lot/ Unit Number]]&lt;=$G$13,$G$16*Table11[[#This Row],[ Contribution Schedule Lot Entitlements (CSLE)]],0)</f>
        <v>1.1000000000000001</v>
      </c>
      <c r="G20" s="13">
        <f>IF(Table11[[#This Row],[Lot/ Unit Number]]&lt;=$G$13,$G$17*Table11[[#This Row],[Interest Schedule Lot Entitlements (ISLE)]],0)</f>
        <v>1.1000000000000001</v>
      </c>
      <c r="H20" s="13">
        <f>Table11[[#This Row],[Total Annual Contribution]]/4</f>
        <v>0.82500000000000007</v>
      </c>
      <c r="I20" s="51">
        <f>Table11[[#This Row],[Sinking Fund Rate per CSLE]]+Table11[[#This Row],[Administrative Fund Rate per CSLE]]+Table11[[#This Row],[Insurance Fund Rate per ISLE]]</f>
        <v>3.3000000000000003</v>
      </c>
    </row>
    <row r="21" spans="1:9" s="14" customFormat="1" ht="14.45" customHeight="1" x14ac:dyDescent="0.25">
      <c r="A21" s="11">
        <v>2</v>
      </c>
      <c r="B21" s="12">
        <v>1</v>
      </c>
      <c r="C21" s="12">
        <v>1</v>
      </c>
      <c r="D21" s="12">
        <v>1</v>
      </c>
      <c r="E21" s="13">
        <f>IF(Table11[[#This Row],[Lot/ Unit Number]]&lt;=$G$13,$G$15*Table11[[#This Row],[ Contribution Schedule Lot Entitlements (CSLE)]],0)</f>
        <v>0</v>
      </c>
      <c r="F21" s="13">
        <f>IF(Table11[[#This Row],[Lot/ Unit Number]]&lt;=$G$13,$G$16*Table11[[#This Row],[ Contribution Schedule Lot Entitlements (CSLE)]],0)</f>
        <v>0</v>
      </c>
      <c r="G21" s="13">
        <f>IF(Table11[[#This Row],[Lot/ Unit Number]]&lt;=$G$13,$G$17*Table11[[#This Row],[Interest Schedule Lot Entitlements (ISLE)]],0)</f>
        <v>0</v>
      </c>
      <c r="H21" s="13">
        <f>Table11[[#This Row],[Total Annual Contribution]]/4</f>
        <v>0</v>
      </c>
      <c r="I21" s="51">
        <f>Table11[[#This Row],[Sinking Fund Rate per CSLE]]+Table11[[#This Row],[Administrative Fund Rate per CSLE]]+Table11[[#This Row],[Insurance Fund Rate per ISLE]]</f>
        <v>0</v>
      </c>
    </row>
    <row r="22" spans="1:9" s="14" customFormat="1" ht="14.45" customHeight="1" x14ac:dyDescent="0.25">
      <c r="A22" s="11">
        <v>3</v>
      </c>
      <c r="B22" s="12">
        <v>1</v>
      </c>
      <c r="C22" s="12">
        <v>1</v>
      </c>
      <c r="D22" s="12">
        <v>1</v>
      </c>
      <c r="E22" s="13">
        <f>IF(Table11[[#This Row],[Lot/ Unit Number]]&lt;=$G$13,$G$15*Table11[[#This Row],[ Contribution Schedule Lot Entitlements (CSLE)]],0)</f>
        <v>0</v>
      </c>
      <c r="F22" s="13">
        <f>IF(Table11[[#This Row],[Lot/ Unit Number]]&lt;=$G$13,$G$16*Table11[[#This Row],[ Contribution Schedule Lot Entitlements (CSLE)]],0)</f>
        <v>0</v>
      </c>
      <c r="G22" s="13">
        <f>IF(Table11[[#This Row],[Lot/ Unit Number]]&lt;=$G$13,$G$17*Table11[[#This Row],[Interest Schedule Lot Entitlements (ISLE)]],0)</f>
        <v>0</v>
      </c>
      <c r="H22" s="13">
        <f>Table11[[#This Row],[Total Annual Contribution]]/4</f>
        <v>0</v>
      </c>
      <c r="I22" s="51">
        <f>Table11[[#This Row],[Sinking Fund Rate per CSLE]]+Table11[[#This Row],[Administrative Fund Rate per CSLE]]+Table11[[#This Row],[Insurance Fund Rate per ISLE]]</f>
        <v>0</v>
      </c>
    </row>
    <row r="23" spans="1:9" s="14" customFormat="1" ht="14.45" customHeight="1" x14ac:dyDescent="0.25">
      <c r="A23" s="11">
        <v>4</v>
      </c>
      <c r="B23" s="12">
        <v>1</v>
      </c>
      <c r="C23" s="12">
        <v>1</v>
      </c>
      <c r="D23" s="12">
        <v>1</v>
      </c>
      <c r="E23" s="13">
        <f>IF(Table11[[#This Row],[Lot/ Unit Number]]&lt;=$G$13,$G$15*Table11[[#This Row],[ Contribution Schedule Lot Entitlements (CSLE)]],0)</f>
        <v>0</v>
      </c>
      <c r="F23" s="13">
        <f>IF(Table11[[#This Row],[Lot/ Unit Number]]&lt;=$G$13,$G$16*Table11[[#This Row],[ Contribution Schedule Lot Entitlements (CSLE)]],0)</f>
        <v>0</v>
      </c>
      <c r="G23" s="13">
        <f>IF(Table11[[#This Row],[Lot/ Unit Number]]&lt;=$G$13,$G$17*Table11[[#This Row],[Interest Schedule Lot Entitlements (ISLE)]],0)</f>
        <v>0</v>
      </c>
      <c r="H23" s="13">
        <f>Table11[[#This Row],[Total Annual Contribution]]/4</f>
        <v>0</v>
      </c>
      <c r="I23" s="51">
        <f>Table11[[#This Row],[Sinking Fund Rate per CSLE]]+Table11[[#This Row],[Administrative Fund Rate per CSLE]]+Table11[[#This Row],[Insurance Fund Rate per ISLE]]</f>
        <v>0</v>
      </c>
    </row>
    <row r="24" spans="1:9" s="14" customFormat="1" ht="14.45" customHeight="1" x14ac:dyDescent="0.25">
      <c r="A24" s="11">
        <v>5</v>
      </c>
      <c r="B24" s="12">
        <v>1</v>
      </c>
      <c r="C24" s="12">
        <v>1</v>
      </c>
      <c r="D24" s="12">
        <v>1</v>
      </c>
      <c r="E24" s="13">
        <f>IF(Table11[[#This Row],[Lot/ Unit Number]]&lt;=$G$13,$G$15*Table11[[#This Row],[ Contribution Schedule Lot Entitlements (CSLE)]],0)</f>
        <v>0</v>
      </c>
      <c r="F24" s="13">
        <f>IF(Table11[[#This Row],[Lot/ Unit Number]]&lt;=$G$13,$G$16*Table11[[#This Row],[ Contribution Schedule Lot Entitlements (CSLE)]],0)</f>
        <v>0</v>
      </c>
      <c r="G24" s="13">
        <f>IF(Table11[[#This Row],[Lot/ Unit Number]]&lt;=$G$13,$G$17*Table11[[#This Row],[Interest Schedule Lot Entitlements (ISLE)]],0)</f>
        <v>0</v>
      </c>
      <c r="H24" s="13">
        <f>Table11[[#This Row],[Total Annual Contribution]]/4</f>
        <v>0</v>
      </c>
      <c r="I24" s="51">
        <f>Table11[[#This Row],[Sinking Fund Rate per CSLE]]+Table11[[#This Row],[Administrative Fund Rate per CSLE]]+Table11[[#This Row],[Insurance Fund Rate per ISLE]]</f>
        <v>0</v>
      </c>
    </row>
    <row r="25" spans="1:9" s="14" customFormat="1" ht="14.45" customHeight="1" x14ac:dyDescent="0.25">
      <c r="A25" s="11">
        <v>6</v>
      </c>
      <c r="B25" s="12">
        <v>1</v>
      </c>
      <c r="C25" s="12">
        <v>1</v>
      </c>
      <c r="D25" s="12">
        <v>1</v>
      </c>
      <c r="E25" s="13">
        <f>IF(Table11[[#This Row],[Lot/ Unit Number]]&lt;=$G$13,$G$15*Table11[[#This Row],[ Contribution Schedule Lot Entitlements (CSLE)]],0)</f>
        <v>0</v>
      </c>
      <c r="F25" s="13">
        <f>IF(Table11[[#This Row],[Lot/ Unit Number]]&lt;=$G$13,$G$16*Table11[[#This Row],[ Contribution Schedule Lot Entitlements (CSLE)]],0)</f>
        <v>0</v>
      </c>
      <c r="G25" s="13">
        <f>IF(Table11[[#This Row],[Lot/ Unit Number]]&lt;=$G$13,$G$17*Table11[[#This Row],[Interest Schedule Lot Entitlements (ISLE)]],0)</f>
        <v>0</v>
      </c>
      <c r="H25" s="13">
        <f>Table11[[#This Row],[Total Annual Contribution]]/4</f>
        <v>0</v>
      </c>
      <c r="I25" s="51">
        <f>Table11[[#This Row],[Sinking Fund Rate per CSLE]]+Table11[[#This Row],[Administrative Fund Rate per CSLE]]+Table11[[#This Row],[Insurance Fund Rate per ISLE]]</f>
        <v>0</v>
      </c>
    </row>
    <row r="26" spans="1:9" s="14" customFormat="1" ht="14.45" customHeight="1" x14ac:dyDescent="0.25">
      <c r="A26" s="11">
        <v>7</v>
      </c>
      <c r="B26" s="12">
        <v>1</v>
      </c>
      <c r="C26" s="12">
        <v>1</v>
      </c>
      <c r="D26" s="12">
        <v>1</v>
      </c>
      <c r="E26" s="13">
        <f>IF(Table11[[#This Row],[Lot/ Unit Number]]&lt;=$G$13,$G$15*Table11[[#This Row],[ Contribution Schedule Lot Entitlements (CSLE)]],0)</f>
        <v>0</v>
      </c>
      <c r="F26" s="13">
        <f>IF(Table11[[#This Row],[Lot/ Unit Number]]&lt;=$G$13,$G$16*Table11[[#This Row],[ Contribution Schedule Lot Entitlements (CSLE)]],0)</f>
        <v>0</v>
      </c>
      <c r="G26" s="13">
        <f>IF(Table11[[#This Row],[Lot/ Unit Number]]&lt;=$G$13,$G$17*Table11[[#This Row],[Interest Schedule Lot Entitlements (ISLE)]],0)</f>
        <v>0</v>
      </c>
      <c r="H26" s="13">
        <f>Table11[[#This Row],[Total Annual Contribution]]/4</f>
        <v>0</v>
      </c>
      <c r="I26" s="51">
        <f>Table11[[#This Row],[Sinking Fund Rate per CSLE]]+Table11[[#This Row],[Administrative Fund Rate per CSLE]]+Table11[[#This Row],[Insurance Fund Rate per ISLE]]</f>
        <v>0</v>
      </c>
    </row>
    <row r="27" spans="1:9" s="14" customFormat="1" ht="14.45" customHeight="1" x14ac:dyDescent="0.25">
      <c r="A27" s="11">
        <v>8</v>
      </c>
      <c r="B27" s="12">
        <v>1</v>
      </c>
      <c r="C27" s="12">
        <v>1</v>
      </c>
      <c r="D27" s="12">
        <v>1</v>
      </c>
      <c r="E27" s="13">
        <f>IF(Table11[[#This Row],[Lot/ Unit Number]]&lt;=$G$13,$G$15*Table11[[#This Row],[ Contribution Schedule Lot Entitlements (CSLE)]],0)</f>
        <v>0</v>
      </c>
      <c r="F27" s="13">
        <f>IF(Table11[[#This Row],[Lot/ Unit Number]]&lt;=$G$13,$G$16*Table11[[#This Row],[ Contribution Schedule Lot Entitlements (CSLE)]],0)</f>
        <v>0</v>
      </c>
      <c r="G27" s="13">
        <f>IF(Table11[[#This Row],[Lot/ Unit Number]]&lt;=$G$13,$G$17*Table11[[#This Row],[Interest Schedule Lot Entitlements (ISLE)]],0)</f>
        <v>0</v>
      </c>
      <c r="H27" s="13">
        <f>Table11[[#This Row],[Total Annual Contribution]]/4</f>
        <v>0</v>
      </c>
      <c r="I27" s="51">
        <f>Table11[[#This Row],[Sinking Fund Rate per CSLE]]+Table11[[#This Row],[Administrative Fund Rate per CSLE]]+Table11[[#This Row],[Insurance Fund Rate per ISLE]]</f>
        <v>0</v>
      </c>
    </row>
    <row r="28" spans="1:9" s="14" customFormat="1" ht="14.45" customHeight="1" x14ac:dyDescent="0.25">
      <c r="A28" s="11">
        <v>9</v>
      </c>
      <c r="B28" s="12">
        <v>1</v>
      </c>
      <c r="C28" s="12">
        <v>1</v>
      </c>
      <c r="D28" s="12">
        <v>1</v>
      </c>
      <c r="E28" s="13">
        <f>IF(Table11[[#This Row],[Lot/ Unit Number]]&lt;=$G$13,$G$15*Table11[[#This Row],[ Contribution Schedule Lot Entitlements (CSLE)]],0)</f>
        <v>0</v>
      </c>
      <c r="F28" s="13">
        <f>IF(Table11[[#This Row],[Lot/ Unit Number]]&lt;=$G$13,$G$16*Table11[[#This Row],[ Contribution Schedule Lot Entitlements (CSLE)]],0)</f>
        <v>0</v>
      </c>
      <c r="G28" s="13">
        <f>IF(Table11[[#This Row],[Lot/ Unit Number]]&lt;=$G$13,$G$17*Table11[[#This Row],[Interest Schedule Lot Entitlements (ISLE)]],0)</f>
        <v>0</v>
      </c>
      <c r="H28" s="13">
        <f>Table11[[#This Row],[Total Annual Contribution]]/4</f>
        <v>0</v>
      </c>
      <c r="I28" s="51">
        <f>Table11[[#This Row],[Sinking Fund Rate per CSLE]]+Table11[[#This Row],[Administrative Fund Rate per CSLE]]+Table11[[#This Row],[Insurance Fund Rate per ISLE]]</f>
        <v>0</v>
      </c>
    </row>
    <row r="29" spans="1:9" s="14" customFormat="1" ht="14.45" customHeight="1" x14ac:dyDescent="0.25">
      <c r="A29" s="11">
        <v>10</v>
      </c>
      <c r="B29" s="12">
        <v>1</v>
      </c>
      <c r="C29" s="12">
        <v>1</v>
      </c>
      <c r="D29" s="12">
        <v>1</v>
      </c>
      <c r="E29" s="13">
        <f>IF(Table11[[#This Row],[Lot/ Unit Number]]&lt;=$G$13,$G$15*Table11[[#This Row],[ Contribution Schedule Lot Entitlements (CSLE)]],0)</f>
        <v>0</v>
      </c>
      <c r="F29" s="13">
        <f>IF(Table11[[#This Row],[Lot/ Unit Number]]&lt;=$G$13,$G$16*Table11[[#This Row],[ Contribution Schedule Lot Entitlements (CSLE)]],0)</f>
        <v>0</v>
      </c>
      <c r="G29" s="13">
        <f>IF(Table11[[#This Row],[Lot/ Unit Number]]&lt;=$G$13,$G$17*Table11[[#This Row],[Interest Schedule Lot Entitlements (ISLE)]],0)</f>
        <v>0</v>
      </c>
      <c r="H29" s="13">
        <f>Table11[[#This Row],[Total Annual Contribution]]/4</f>
        <v>0</v>
      </c>
      <c r="I29" s="51">
        <f>Table11[[#This Row],[Sinking Fund Rate per CSLE]]+Table11[[#This Row],[Administrative Fund Rate per CSLE]]+Table11[[#This Row],[Insurance Fund Rate per ISLE]]</f>
        <v>0</v>
      </c>
    </row>
    <row r="30" spans="1:9" s="14" customFormat="1" ht="14.45" customHeight="1" x14ac:dyDescent="0.25">
      <c r="A30" s="11">
        <v>11</v>
      </c>
      <c r="B30" s="12">
        <v>1</v>
      </c>
      <c r="C30" s="12">
        <v>1</v>
      </c>
      <c r="D30" s="12">
        <v>1</v>
      </c>
      <c r="E30" s="13">
        <f>IF(Table11[[#This Row],[Lot/ Unit Number]]&lt;=$G$13,$G$15*Table11[[#This Row],[ Contribution Schedule Lot Entitlements (CSLE)]],0)</f>
        <v>0</v>
      </c>
      <c r="F30" s="13">
        <f>IF(Table11[[#This Row],[Lot/ Unit Number]]&lt;=$G$13,$G$16*Table11[[#This Row],[ Contribution Schedule Lot Entitlements (CSLE)]],0)</f>
        <v>0</v>
      </c>
      <c r="G30" s="13">
        <f>IF(Table11[[#This Row],[Lot/ Unit Number]]&lt;=$G$13,$G$17*Table11[[#This Row],[Interest Schedule Lot Entitlements (ISLE)]],0)</f>
        <v>0</v>
      </c>
      <c r="H30" s="13">
        <f>Table11[[#This Row],[Total Annual Contribution]]/4</f>
        <v>0</v>
      </c>
      <c r="I30" s="51">
        <f>Table11[[#This Row],[Sinking Fund Rate per CSLE]]+Table11[[#This Row],[Administrative Fund Rate per CSLE]]+Table11[[#This Row],[Insurance Fund Rate per ISLE]]</f>
        <v>0</v>
      </c>
    </row>
    <row r="31" spans="1:9" s="14" customFormat="1" ht="14.45" customHeight="1" x14ac:dyDescent="0.25">
      <c r="A31" s="11">
        <v>12</v>
      </c>
      <c r="B31" s="12">
        <v>1</v>
      </c>
      <c r="C31" s="12">
        <v>1</v>
      </c>
      <c r="D31" s="12">
        <v>1</v>
      </c>
      <c r="E31" s="13">
        <f>IF(Table11[[#This Row],[Lot/ Unit Number]]&lt;=$G$13,$G$15*Table11[[#This Row],[ Contribution Schedule Lot Entitlements (CSLE)]],0)</f>
        <v>0</v>
      </c>
      <c r="F31" s="13">
        <f>IF(Table11[[#This Row],[Lot/ Unit Number]]&lt;=$G$13,$G$16*Table11[[#This Row],[ Contribution Schedule Lot Entitlements (CSLE)]],0)</f>
        <v>0</v>
      </c>
      <c r="G31" s="13">
        <f>IF(Table11[[#This Row],[Lot/ Unit Number]]&lt;=$G$13,$G$17*Table11[[#This Row],[Interest Schedule Lot Entitlements (ISLE)]],0)</f>
        <v>0</v>
      </c>
      <c r="H31" s="13">
        <f>Table11[[#This Row],[Total Annual Contribution]]/4</f>
        <v>0</v>
      </c>
      <c r="I31" s="51">
        <f>Table11[[#This Row],[Sinking Fund Rate per CSLE]]+Table11[[#This Row],[Administrative Fund Rate per CSLE]]+Table11[[#This Row],[Insurance Fund Rate per ISLE]]</f>
        <v>0</v>
      </c>
    </row>
    <row r="32" spans="1:9" s="14" customFormat="1" ht="14.45" customHeight="1" x14ac:dyDescent="0.25">
      <c r="A32" s="11">
        <v>13</v>
      </c>
      <c r="B32" s="12">
        <v>1</v>
      </c>
      <c r="C32" s="12">
        <v>1</v>
      </c>
      <c r="D32" s="12">
        <v>1</v>
      </c>
      <c r="E32" s="13">
        <f>IF(Table11[[#This Row],[Lot/ Unit Number]]&lt;=$G$13,$G$15*Table11[[#This Row],[ Contribution Schedule Lot Entitlements (CSLE)]],0)</f>
        <v>0</v>
      </c>
      <c r="F32" s="13">
        <f>IF(Table11[[#This Row],[Lot/ Unit Number]]&lt;=$G$13,$G$16*Table11[[#This Row],[ Contribution Schedule Lot Entitlements (CSLE)]],0)</f>
        <v>0</v>
      </c>
      <c r="G32" s="13">
        <f>IF(Table11[[#This Row],[Lot/ Unit Number]]&lt;=$G$13,$G$17*Table11[[#This Row],[Interest Schedule Lot Entitlements (ISLE)]],0)</f>
        <v>0</v>
      </c>
      <c r="H32" s="13">
        <f>Table11[[#This Row],[Total Annual Contribution]]/4</f>
        <v>0</v>
      </c>
      <c r="I32" s="51">
        <f>Table11[[#This Row],[Sinking Fund Rate per CSLE]]+Table11[[#This Row],[Administrative Fund Rate per CSLE]]+Table11[[#This Row],[Insurance Fund Rate per ISLE]]</f>
        <v>0</v>
      </c>
    </row>
    <row r="33" spans="1:9" s="14" customFormat="1" ht="14.45" customHeight="1" x14ac:dyDescent="0.25">
      <c r="A33" s="11">
        <v>14</v>
      </c>
      <c r="B33" s="12">
        <v>1</v>
      </c>
      <c r="C33" s="12">
        <v>1</v>
      </c>
      <c r="D33" s="12">
        <v>1</v>
      </c>
      <c r="E33" s="13">
        <f>IF(Table11[[#This Row],[Lot/ Unit Number]]&lt;=$G$13,$G$15*Table11[[#This Row],[ Contribution Schedule Lot Entitlements (CSLE)]],0)</f>
        <v>0</v>
      </c>
      <c r="F33" s="13">
        <f>IF(Table11[[#This Row],[Lot/ Unit Number]]&lt;=$G$13,$G$16*Table11[[#This Row],[ Contribution Schedule Lot Entitlements (CSLE)]],0)</f>
        <v>0</v>
      </c>
      <c r="G33" s="13">
        <f>IF(Table11[[#This Row],[Lot/ Unit Number]]&lt;=$G$13,$G$17*Table11[[#This Row],[Interest Schedule Lot Entitlements (ISLE)]],0)</f>
        <v>0</v>
      </c>
      <c r="H33" s="13">
        <f>Table11[[#This Row],[Total Annual Contribution]]/4</f>
        <v>0</v>
      </c>
      <c r="I33" s="51">
        <f>Table11[[#This Row],[Sinking Fund Rate per CSLE]]+Table11[[#This Row],[Administrative Fund Rate per CSLE]]+Table11[[#This Row],[Insurance Fund Rate per ISLE]]</f>
        <v>0</v>
      </c>
    </row>
    <row r="34" spans="1:9" s="14" customFormat="1" ht="14.45" customHeight="1" x14ac:dyDescent="0.25">
      <c r="A34" s="11">
        <v>15</v>
      </c>
      <c r="B34" s="12">
        <v>1</v>
      </c>
      <c r="C34" s="12">
        <v>1</v>
      </c>
      <c r="D34" s="12">
        <v>1</v>
      </c>
      <c r="E34" s="13">
        <f>IF(Table11[[#This Row],[Lot/ Unit Number]]&lt;=$G$13,$G$15*Table11[[#This Row],[ Contribution Schedule Lot Entitlements (CSLE)]],0)</f>
        <v>0</v>
      </c>
      <c r="F34" s="13">
        <f>IF(Table11[[#This Row],[Lot/ Unit Number]]&lt;=$G$13,$G$16*Table11[[#This Row],[ Contribution Schedule Lot Entitlements (CSLE)]],0)</f>
        <v>0</v>
      </c>
      <c r="G34" s="13">
        <f>IF(Table11[[#This Row],[Lot/ Unit Number]]&lt;=$G$13,$G$17*Table11[[#This Row],[Interest Schedule Lot Entitlements (ISLE)]],0)</f>
        <v>0</v>
      </c>
      <c r="H34" s="13">
        <f>Table11[[#This Row],[Total Annual Contribution]]/4</f>
        <v>0</v>
      </c>
      <c r="I34" s="51">
        <f>Table11[[#This Row],[Sinking Fund Rate per CSLE]]+Table11[[#This Row],[Administrative Fund Rate per CSLE]]+Table11[[#This Row],[Insurance Fund Rate per ISLE]]</f>
        <v>0</v>
      </c>
    </row>
    <row r="35" spans="1:9" s="14" customFormat="1" ht="14.45" customHeight="1" x14ac:dyDescent="0.25">
      <c r="A35" s="11">
        <v>16</v>
      </c>
      <c r="B35" s="12">
        <v>1</v>
      </c>
      <c r="C35" s="12">
        <v>1</v>
      </c>
      <c r="D35" s="12">
        <v>1</v>
      </c>
      <c r="E35" s="13">
        <f>IF(Table11[[#This Row],[Lot/ Unit Number]]&lt;=$G$13,$G$15*Table11[[#This Row],[ Contribution Schedule Lot Entitlements (CSLE)]],0)</f>
        <v>0</v>
      </c>
      <c r="F35" s="13">
        <f>IF(Table11[[#This Row],[Lot/ Unit Number]]&lt;=$G$13,$G$16*Table11[[#This Row],[ Contribution Schedule Lot Entitlements (CSLE)]],0)</f>
        <v>0</v>
      </c>
      <c r="G35" s="13">
        <f>IF(Table11[[#This Row],[Lot/ Unit Number]]&lt;=$G$13,$G$17*Table11[[#This Row],[Interest Schedule Lot Entitlements (ISLE)]],0)</f>
        <v>0</v>
      </c>
      <c r="H35" s="13">
        <f>Table11[[#This Row],[Total Annual Contribution]]/4</f>
        <v>0</v>
      </c>
      <c r="I35" s="51">
        <f>Table11[[#This Row],[Sinking Fund Rate per CSLE]]+Table11[[#This Row],[Administrative Fund Rate per CSLE]]+Table11[[#This Row],[Insurance Fund Rate per ISLE]]</f>
        <v>0</v>
      </c>
    </row>
    <row r="36" spans="1:9" s="14" customFormat="1" ht="14.45" customHeight="1" x14ac:dyDescent="0.25">
      <c r="A36" s="11">
        <v>17</v>
      </c>
      <c r="B36" s="12">
        <v>1</v>
      </c>
      <c r="C36" s="12">
        <v>1</v>
      </c>
      <c r="D36" s="12">
        <v>1</v>
      </c>
      <c r="E36" s="13">
        <f>IF(Table11[[#This Row],[Lot/ Unit Number]]&lt;=$G$13,$G$15*Table11[[#This Row],[ Contribution Schedule Lot Entitlements (CSLE)]],0)</f>
        <v>0</v>
      </c>
      <c r="F36" s="13">
        <f>IF(Table11[[#This Row],[Lot/ Unit Number]]&lt;=$G$13,$G$16*Table11[[#This Row],[ Contribution Schedule Lot Entitlements (CSLE)]],0)</f>
        <v>0</v>
      </c>
      <c r="G36" s="13">
        <f>IF(Table11[[#This Row],[Lot/ Unit Number]]&lt;=$G$13,$G$17*Table11[[#This Row],[Interest Schedule Lot Entitlements (ISLE)]],0)</f>
        <v>0</v>
      </c>
      <c r="H36" s="13">
        <f>Table11[[#This Row],[Total Annual Contribution]]/4</f>
        <v>0</v>
      </c>
      <c r="I36" s="51">
        <f>Table11[[#This Row],[Sinking Fund Rate per CSLE]]+Table11[[#This Row],[Administrative Fund Rate per CSLE]]+Table11[[#This Row],[Insurance Fund Rate per ISLE]]</f>
        <v>0</v>
      </c>
    </row>
    <row r="37" spans="1:9" s="14" customFormat="1" ht="14.45" customHeight="1" x14ac:dyDescent="0.25">
      <c r="A37" s="11">
        <v>18</v>
      </c>
      <c r="B37" s="12">
        <v>1</v>
      </c>
      <c r="C37" s="12">
        <v>1</v>
      </c>
      <c r="D37" s="12">
        <v>1</v>
      </c>
      <c r="E37" s="13">
        <f>IF(Table11[[#This Row],[Lot/ Unit Number]]&lt;=$G$13,$G$15*Table11[[#This Row],[ Contribution Schedule Lot Entitlements (CSLE)]],0)</f>
        <v>0</v>
      </c>
      <c r="F37" s="13">
        <f>IF(Table11[[#This Row],[Lot/ Unit Number]]&lt;=$G$13,$G$16*Table11[[#This Row],[ Contribution Schedule Lot Entitlements (CSLE)]],0)</f>
        <v>0</v>
      </c>
      <c r="G37" s="13">
        <f>IF(Table11[[#This Row],[Lot/ Unit Number]]&lt;=$G$13,$G$17*Table11[[#This Row],[Interest Schedule Lot Entitlements (ISLE)]],0)</f>
        <v>0</v>
      </c>
      <c r="H37" s="13">
        <f>Table11[[#This Row],[Total Annual Contribution]]/4</f>
        <v>0</v>
      </c>
      <c r="I37" s="51">
        <f>Table11[[#This Row],[Sinking Fund Rate per CSLE]]+Table11[[#This Row],[Administrative Fund Rate per CSLE]]+Table11[[#This Row],[Insurance Fund Rate per ISLE]]</f>
        <v>0</v>
      </c>
    </row>
    <row r="38" spans="1:9" s="14" customFormat="1" ht="14.45" customHeight="1" x14ac:dyDescent="0.25">
      <c r="A38" s="11">
        <v>19</v>
      </c>
      <c r="B38" s="12">
        <v>1</v>
      </c>
      <c r="C38" s="12">
        <v>1</v>
      </c>
      <c r="D38" s="12">
        <v>1</v>
      </c>
      <c r="E38" s="13">
        <f>IF(Table11[[#This Row],[Lot/ Unit Number]]&lt;=$G$13,$G$15*Table11[[#This Row],[ Contribution Schedule Lot Entitlements (CSLE)]],0)</f>
        <v>0</v>
      </c>
      <c r="F38" s="13">
        <f>IF(Table11[[#This Row],[Lot/ Unit Number]]&lt;=$G$13,$G$16*Table11[[#This Row],[ Contribution Schedule Lot Entitlements (CSLE)]],0)</f>
        <v>0</v>
      </c>
      <c r="G38" s="13">
        <f>IF(Table11[[#This Row],[Lot/ Unit Number]]&lt;=$G$13,$G$17*Table11[[#This Row],[Interest Schedule Lot Entitlements (ISLE)]],0)</f>
        <v>0</v>
      </c>
      <c r="H38" s="13">
        <f>Table11[[#This Row],[Total Annual Contribution]]/4</f>
        <v>0</v>
      </c>
      <c r="I38" s="51">
        <f>Table11[[#This Row],[Sinking Fund Rate per CSLE]]+Table11[[#This Row],[Administrative Fund Rate per CSLE]]+Table11[[#This Row],[Insurance Fund Rate per ISLE]]</f>
        <v>0</v>
      </c>
    </row>
    <row r="39" spans="1:9" s="14" customFormat="1" ht="14.45" customHeight="1" x14ac:dyDescent="0.25">
      <c r="A39" s="11">
        <v>20</v>
      </c>
      <c r="B39" s="12">
        <v>1</v>
      </c>
      <c r="C39" s="12">
        <v>1</v>
      </c>
      <c r="D39" s="12">
        <v>1</v>
      </c>
      <c r="E39" s="13">
        <f>IF(Table11[[#This Row],[Lot/ Unit Number]]&lt;=$G$13,$G$15*Table11[[#This Row],[ Contribution Schedule Lot Entitlements (CSLE)]],0)</f>
        <v>0</v>
      </c>
      <c r="F39" s="13">
        <f>IF(Table11[[#This Row],[Lot/ Unit Number]]&lt;=$G$13,$G$16*Table11[[#This Row],[ Contribution Schedule Lot Entitlements (CSLE)]],0)</f>
        <v>0</v>
      </c>
      <c r="G39" s="13">
        <f>IF(Table11[[#This Row],[Lot/ Unit Number]]&lt;=$G$13,$G$17*Table11[[#This Row],[Interest Schedule Lot Entitlements (ISLE)]],0)</f>
        <v>0</v>
      </c>
      <c r="H39" s="13">
        <f>Table11[[#This Row],[Total Annual Contribution]]/4</f>
        <v>0</v>
      </c>
      <c r="I39" s="51">
        <f>Table11[[#This Row],[Sinking Fund Rate per CSLE]]+Table11[[#This Row],[Administrative Fund Rate per CSLE]]+Table11[[#This Row],[Insurance Fund Rate per ISLE]]</f>
        <v>0</v>
      </c>
    </row>
    <row r="40" spans="1:9" s="14" customFormat="1" ht="14.45" customHeight="1" x14ac:dyDescent="0.25">
      <c r="A40" s="11">
        <v>21</v>
      </c>
      <c r="B40" s="12">
        <v>1</v>
      </c>
      <c r="C40" s="12">
        <v>1</v>
      </c>
      <c r="D40" s="12">
        <v>1</v>
      </c>
      <c r="E40" s="13">
        <f>IF(Table11[[#This Row],[Lot/ Unit Number]]&lt;=$G$13,$G$15*Table11[[#This Row],[ Contribution Schedule Lot Entitlements (CSLE)]],0)</f>
        <v>0</v>
      </c>
      <c r="F40" s="13">
        <f>IF(Table11[[#This Row],[Lot/ Unit Number]]&lt;=$G$13,$G$16*Table11[[#This Row],[ Contribution Schedule Lot Entitlements (CSLE)]],0)</f>
        <v>0</v>
      </c>
      <c r="G40" s="13">
        <f>IF(Table11[[#This Row],[Lot/ Unit Number]]&lt;=$G$13,$G$17*Table11[[#This Row],[Interest Schedule Lot Entitlements (ISLE)]],0)</f>
        <v>0</v>
      </c>
      <c r="H40" s="13">
        <f>Table11[[#This Row],[Total Annual Contribution]]/4</f>
        <v>0</v>
      </c>
      <c r="I40" s="51">
        <f>Table11[[#This Row],[Sinking Fund Rate per CSLE]]+Table11[[#This Row],[Administrative Fund Rate per CSLE]]+Table11[[#This Row],[Insurance Fund Rate per ISLE]]</f>
        <v>0</v>
      </c>
    </row>
    <row r="41" spans="1:9" s="14" customFormat="1" ht="14.45" customHeight="1" x14ac:dyDescent="0.25">
      <c r="A41" s="11">
        <v>22</v>
      </c>
      <c r="B41" s="12">
        <v>1</v>
      </c>
      <c r="C41" s="12">
        <v>1</v>
      </c>
      <c r="D41" s="12">
        <v>1</v>
      </c>
      <c r="E41" s="13">
        <f>IF(Table11[[#This Row],[Lot/ Unit Number]]&lt;=$G$13,$G$15*Table11[[#This Row],[ Contribution Schedule Lot Entitlements (CSLE)]],0)</f>
        <v>0</v>
      </c>
      <c r="F41" s="13">
        <f>IF(Table11[[#This Row],[Lot/ Unit Number]]&lt;=$G$13,$G$16*Table11[[#This Row],[ Contribution Schedule Lot Entitlements (CSLE)]],0)</f>
        <v>0</v>
      </c>
      <c r="G41" s="13">
        <f>IF(Table11[[#This Row],[Lot/ Unit Number]]&lt;=$G$13,$G$17*Table11[[#This Row],[Interest Schedule Lot Entitlements (ISLE)]],0)</f>
        <v>0</v>
      </c>
      <c r="H41" s="13">
        <f>Table11[[#This Row],[Total Annual Contribution]]/4</f>
        <v>0</v>
      </c>
      <c r="I41" s="51">
        <f>Table11[[#This Row],[Sinking Fund Rate per CSLE]]+Table11[[#This Row],[Administrative Fund Rate per CSLE]]+Table11[[#This Row],[Insurance Fund Rate per ISLE]]</f>
        <v>0</v>
      </c>
    </row>
    <row r="42" spans="1:9" s="14" customFormat="1" ht="14.45" customHeight="1" x14ac:dyDescent="0.25">
      <c r="A42" s="11">
        <v>23</v>
      </c>
      <c r="B42" s="12">
        <v>1</v>
      </c>
      <c r="C42" s="12">
        <v>1</v>
      </c>
      <c r="D42" s="12">
        <v>1</v>
      </c>
      <c r="E42" s="13">
        <f>IF(Table11[[#This Row],[Lot/ Unit Number]]&lt;=$G$13,$G$15*Table11[[#This Row],[ Contribution Schedule Lot Entitlements (CSLE)]],0)</f>
        <v>0</v>
      </c>
      <c r="F42" s="13">
        <f>IF(Table11[[#This Row],[Lot/ Unit Number]]&lt;=$G$13,$G$16*Table11[[#This Row],[ Contribution Schedule Lot Entitlements (CSLE)]],0)</f>
        <v>0</v>
      </c>
      <c r="G42" s="13">
        <f>IF(Table11[[#This Row],[Lot/ Unit Number]]&lt;=$G$13,$G$17*Table11[[#This Row],[Interest Schedule Lot Entitlements (ISLE)]],0)</f>
        <v>0</v>
      </c>
      <c r="H42" s="13">
        <f>Table11[[#This Row],[Total Annual Contribution]]/4</f>
        <v>0</v>
      </c>
      <c r="I42" s="51">
        <f>Table11[[#This Row],[Sinking Fund Rate per CSLE]]+Table11[[#This Row],[Administrative Fund Rate per CSLE]]+Table11[[#This Row],[Insurance Fund Rate per ISLE]]</f>
        <v>0</v>
      </c>
    </row>
    <row r="43" spans="1:9" s="14" customFormat="1" ht="14.45" customHeight="1" x14ac:dyDescent="0.25">
      <c r="A43" s="11">
        <v>24</v>
      </c>
      <c r="B43" s="12">
        <v>1</v>
      </c>
      <c r="C43" s="12">
        <v>1</v>
      </c>
      <c r="D43" s="12">
        <v>1</v>
      </c>
      <c r="E43" s="13">
        <f>IF(Table11[[#This Row],[Lot/ Unit Number]]&lt;=$G$13,$G$15*Table11[[#This Row],[ Contribution Schedule Lot Entitlements (CSLE)]],0)</f>
        <v>0</v>
      </c>
      <c r="F43" s="13">
        <f>IF(Table11[[#This Row],[Lot/ Unit Number]]&lt;=$G$13,$G$16*Table11[[#This Row],[ Contribution Schedule Lot Entitlements (CSLE)]],0)</f>
        <v>0</v>
      </c>
      <c r="G43" s="13">
        <f>IF(Table11[[#This Row],[Lot/ Unit Number]]&lt;=$G$13,$G$17*Table11[[#This Row],[Interest Schedule Lot Entitlements (ISLE)]],0)</f>
        <v>0</v>
      </c>
      <c r="H43" s="13">
        <f>Table11[[#This Row],[Total Annual Contribution]]/4</f>
        <v>0</v>
      </c>
      <c r="I43" s="51">
        <f>Table11[[#This Row],[Sinking Fund Rate per CSLE]]+Table11[[#This Row],[Administrative Fund Rate per CSLE]]+Table11[[#This Row],[Insurance Fund Rate per ISLE]]</f>
        <v>0</v>
      </c>
    </row>
    <row r="44" spans="1:9" s="14" customFormat="1" ht="14.45" customHeight="1" x14ac:dyDescent="0.25">
      <c r="A44" s="11">
        <v>25</v>
      </c>
      <c r="B44" s="12">
        <v>1</v>
      </c>
      <c r="C44" s="12">
        <v>1</v>
      </c>
      <c r="D44" s="12">
        <v>1</v>
      </c>
      <c r="E44" s="13">
        <f>IF(Table11[[#This Row],[Lot/ Unit Number]]&lt;=$G$13,$G$15*Table11[[#This Row],[ Contribution Schedule Lot Entitlements (CSLE)]],0)</f>
        <v>0</v>
      </c>
      <c r="F44" s="13">
        <f>IF(Table11[[#This Row],[Lot/ Unit Number]]&lt;=$G$13,$G$16*Table11[[#This Row],[ Contribution Schedule Lot Entitlements (CSLE)]],0)</f>
        <v>0</v>
      </c>
      <c r="G44" s="13">
        <f>IF(Table11[[#This Row],[Lot/ Unit Number]]&lt;=$G$13,$G$17*Table11[[#This Row],[Interest Schedule Lot Entitlements (ISLE)]],0)</f>
        <v>0</v>
      </c>
      <c r="H44" s="13">
        <f>Table11[[#This Row],[Total Annual Contribution]]/4</f>
        <v>0</v>
      </c>
      <c r="I44" s="51">
        <f>Table11[[#This Row],[Sinking Fund Rate per CSLE]]+Table11[[#This Row],[Administrative Fund Rate per CSLE]]+Table11[[#This Row],[Insurance Fund Rate per ISLE]]</f>
        <v>0</v>
      </c>
    </row>
    <row r="45" spans="1:9" s="14" customFormat="1" ht="14.45" customHeight="1" x14ac:dyDescent="0.25">
      <c r="A45" s="11">
        <v>26</v>
      </c>
      <c r="B45" s="12">
        <v>1</v>
      </c>
      <c r="C45" s="12">
        <v>1</v>
      </c>
      <c r="D45" s="12">
        <v>1</v>
      </c>
      <c r="E45" s="13">
        <f>IF(Table11[[#This Row],[Lot/ Unit Number]]&lt;=$G$13,$G$15*Table11[[#This Row],[ Contribution Schedule Lot Entitlements (CSLE)]],0)</f>
        <v>0</v>
      </c>
      <c r="F45" s="13">
        <f>IF(Table11[[#This Row],[Lot/ Unit Number]]&lt;=$G$13,$G$16*Table11[[#This Row],[ Contribution Schedule Lot Entitlements (CSLE)]],0)</f>
        <v>0</v>
      </c>
      <c r="G45" s="13">
        <f>IF(Table11[[#This Row],[Lot/ Unit Number]]&lt;=$G$13,$G$17*Table11[[#This Row],[Interest Schedule Lot Entitlements (ISLE)]],0)</f>
        <v>0</v>
      </c>
      <c r="H45" s="13">
        <f>Table11[[#This Row],[Total Annual Contribution]]/4</f>
        <v>0</v>
      </c>
      <c r="I45" s="51">
        <f>Table11[[#This Row],[Sinking Fund Rate per CSLE]]+Table11[[#This Row],[Administrative Fund Rate per CSLE]]+Table11[[#This Row],[Insurance Fund Rate per ISLE]]</f>
        <v>0</v>
      </c>
    </row>
    <row r="46" spans="1:9" s="14" customFormat="1" ht="14.45" customHeight="1" x14ac:dyDescent="0.25">
      <c r="A46" s="11">
        <v>27</v>
      </c>
      <c r="B46" s="12">
        <v>1</v>
      </c>
      <c r="C46" s="12">
        <v>1</v>
      </c>
      <c r="D46" s="12">
        <v>1</v>
      </c>
      <c r="E46" s="13">
        <f>IF(Table11[[#This Row],[Lot/ Unit Number]]&lt;=$G$13,$G$15*Table11[[#This Row],[ Contribution Schedule Lot Entitlements (CSLE)]],0)</f>
        <v>0</v>
      </c>
      <c r="F46" s="13">
        <f>IF(Table11[[#This Row],[Lot/ Unit Number]]&lt;=$G$13,$G$16*Table11[[#This Row],[ Contribution Schedule Lot Entitlements (CSLE)]],0)</f>
        <v>0</v>
      </c>
      <c r="G46" s="13">
        <f>IF(Table11[[#This Row],[Lot/ Unit Number]]&lt;=$G$13,$G$17*Table11[[#This Row],[Interest Schedule Lot Entitlements (ISLE)]],0)</f>
        <v>0</v>
      </c>
      <c r="H46" s="13">
        <f>Table11[[#This Row],[Total Annual Contribution]]/4</f>
        <v>0</v>
      </c>
      <c r="I46" s="51">
        <f>Table11[[#This Row],[Sinking Fund Rate per CSLE]]+Table11[[#This Row],[Administrative Fund Rate per CSLE]]+Table11[[#This Row],[Insurance Fund Rate per ISLE]]</f>
        <v>0</v>
      </c>
    </row>
    <row r="47" spans="1:9" s="14" customFormat="1" ht="14.45" customHeight="1" x14ac:dyDescent="0.25">
      <c r="A47" s="11">
        <v>28</v>
      </c>
      <c r="B47" s="12">
        <v>1</v>
      </c>
      <c r="C47" s="12">
        <v>1</v>
      </c>
      <c r="D47" s="12">
        <v>1</v>
      </c>
      <c r="E47" s="13">
        <f>IF(Table11[[#This Row],[Lot/ Unit Number]]&lt;=$G$13,$G$15*Table11[[#This Row],[ Contribution Schedule Lot Entitlements (CSLE)]],0)</f>
        <v>0</v>
      </c>
      <c r="F47" s="13">
        <f>IF(Table11[[#This Row],[Lot/ Unit Number]]&lt;=$G$13,$G$16*Table11[[#This Row],[ Contribution Schedule Lot Entitlements (CSLE)]],0)</f>
        <v>0</v>
      </c>
      <c r="G47" s="13">
        <f>IF(Table11[[#This Row],[Lot/ Unit Number]]&lt;=$G$13,$G$17*Table11[[#This Row],[Interest Schedule Lot Entitlements (ISLE)]],0)</f>
        <v>0</v>
      </c>
      <c r="H47" s="13">
        <f>Table11[[#This Row],[Total Annual Contribution]]/4</f>
        <v>0</v>
      </c>
      <c r="I47" s="51">
        <f>Table11[[#This Row],[Sinking Fund Rate per CSLE]]+Table11[[#This Row],[Administrative Fund Rate per CSLE]]+Table11[[#This Row],[Insurance Fund Rate per ISLE]]</f>
        <v>0</v>
      </c>
    </row>
    <row r="48" spans="1:9" s="14" customFormat="1" ht="14.45" customHeight="1" x14ac:dyDescent="0.25">
      <c r="A48" s="11">
        <v>29</v>
      </c>
      <c r="B48" s="12">
        <v>1</v>
      </c>
      <c r="C48" s="12">
        <v>1</v>
      </c>
      <c r="D48" s="12">
        <v>1</v>
      </c>
      <c r="E48" s="13">
        <f>IF(Table11[[#This Row],[Lot/ Unit Number]]&lt;=$G$13,$G$15*Table11[[#This Row],[ Contribution Schedule Lot Entitlements (CSLE)]],0)</f>
        <v>0</v>
      </c>
      <c r="F48" s="13">
        <f>IF(Table11[[#This Row],[Lot/ Unit Number]]&lt;=$G$13,$G$16*Table11[[#This Row],[ Contribution Schedule Lot Entitlements (CSLE)]],0)</f>
        <v>0</v>
      </c>
      <c r="G48" s="13">
        <f>IF(Table11[[#This Row],[Lot/ Unit Number]]&lt;=$G$13,$G$17*Table11[[#This Row],[Interest Schedule Lot Entitlements (ISLE)]],0)</f>
        <v>0</v>
      </c>
      <c r="H48" s="13">
        <f>Table11[[#This Row],[Total Annual Contribution]]/4</f>
        <v>0</v>
      </c>
      <c r="I48" s="51">
        <f>Table11[[#This Row],[Sinking Fund Rate per CSLE]]+Table11[[#This Row],[Administrative Fund Rate per CSLE]]+Table11[[#This Row],[Insurance Fund Rate per ISLE]]</f>
        <v>0</v>
      </c>
    </row>
    <row r="49" spans="1:9" s="14" customFormat="1" ht="14.45" customHeight="1" x14ac:dyDescent="0.25">
      <c r="A49" s="11">
        <v>30</v>
      </c>
      <c r="B49" s="12">
        <v>1</v>
      </c>
      <c r="C49" s="12">
        <v>1</v>
      </c>
      <c r="D49" s="12">
        <v>1</v>
      </c>
      <c r="E49" s="13">
        <f>IF(Table11[[#This Row],[Lot/ Unit Number]]&lt;=$G$13,$G$15*Table11[[#This Row],[ Contribution Schedule Lot Entitlements (CSLE)]],0)</f>
        <v>0</v>
      </c>
      <c r="F49" s="13">
        <f>IF(Table11[[#This Row],[Lot/ Unit Number]]&lt;=$G$13,$G$16*Table11[[#This Row],[ Contribution Schedule Lot Entitlements (CSLE)]],0)</f>
        <v>0</v>
      </c>
      <c r="G49" s="13">
        <f>IF(Table11[[#This Row],[Lot/ Unit Number]]&lt;=$G$13,$G$17*Table11[[#This Row],[Interest Schedule Lot Entitlements (ISLE)]],0)</f>
        <v>0</v>
      </c>
      <c r="H49" s="13">
        <f>Table11[[#This Row],[Total Annual Contribution]]/4</f>
        <v>0</v>
      </c>
      <c r="I49" s="51">
        <f>Table11[[#This Row],[Sinking Fund Rate per CSLE]]+Table11[[#This Row],[Administrative Fund Rate per CSLE]]+Table11[[#This Row],[Insurance Fund Rate per ISLE]]</f>
        <v>0</v>
      </c>
    </row>
    <row r="50" spans="1:9" s="14" customFormat="1" ht="14.45" customHeight="1" x14ac:dyDescent="0.25">
      <c r="A50" s="11">
        <v>31</v>
      </c>
      <c r="B50" s="12">
        <v>1</v>
      </c>
      <c r="C50" s="12">
        <v>1</v>
      </c>
      <c r="D50" s="12">
        <v>1</v>
      </c>
      <c r="E50" s="13">
        <f>IF(Table11[[#This Row],[Lot/ Unit Number]]&lt;=$G$13,$G$15*Table11[[#This Row],[ Contribution Schedule Lot Entitlements (CSLE)]],0)</f>
        <v>0</v>
      </c>
      <c r="F50" s="13">
        <f>IF(Table11[[#This Row],[Lot/ Unit Number]]&lt;=$G$13,$G$16*Table11[[#This Row],[ Contribution Schedule Lot Entitlements (CSLE)]],0)</f>
        <v>0</v>
      </c>
      <c r="G50" s="13">
        <f>IF(Table11[[#This Row],[Lot/ Unit Number]]&lt;=$G$13,$G$17*Table11[[#This Row],[Interest Schedule Lot Entitlements (ISLE)]],0)</f>
        <v>0</v>
      </c>
      <c r="H50" s="13">
        <f>Table11[[#This Row],[Total Annual Contribution]]/4</f>
        <v>0</v>
      </c>
      <c r="I50" s="51">
        <f>Table11[[#This Row],[Sinking Fund Rate per CSLE]]+Table11[[#This Row],[Administrative Fund Rate per CSLE]]+Table11[[#This Row],[Insurance Fund Rate per ISLE]]</f>
        <v>0</v>
      </c>
    </row>
    <row r="51" spans="1:9" s="14" customFormat="1" ht="14.45" customHeight="1" x14ac:dyDescent="0.25">
      <c r="A51" s="11">
        <v>32</v>
      </c>
      <c r="B51" s="12">
        <v>1</v>
      </c>
      <c r="C51" s="12">
        <v>1</v>
      </c>
      <c r="D51" s="12">
        <v>1</v>
      </c>
      <c r="E51" s="13">
        <f>IF(Table11[[#This Row],[Lot/ Unit Number]]&lt;=$G$13,$G$15*Table11[[#This Row],[ Contribution Schedule Lot Entitlements (CSLE)]],0)</f>
        <v>0</v>
      </c>
      <c r="F51" s="13">
        <f>IF(Table11[[#This Row],[Lot/ Unit Number]]&lt;=$G$13,$G$16*Table11[[#This Row],[ Contribution Schedule Lot Entitlements (CSLE)]],0)</f>
        <v>0</v>
      </c>
      <c r="G51" s="13">
        <f>IF(Table11[[#This Row],[Lot/ Unit Number]]&lt;=$G$13,$G$17*Table11[[#This Row],[Interest Schedule Lot Entitlements (ISLE)]],0)</f>
        <v>0</v>
      </c>
      <c r="H51" s="13">
        <f>Table11[[#This Row],[Total Annual Contribution]]/4</f>
        <v>0</v>
      </c>
      <c r="I51" s="51">
        <f>Table11[[#This Row],[Sinking Fund Rate per CSLE]]+Table11[[#This Row],[Administrative Fund Rate per CSLE]]+Table11[[#This Row],[Insurance Fund Rate per ISLE]]</f>
        <v>0</v>
      </c>
    </row>
    <row r="52" spans="1:9" s="14" customFormat="1" ht="14.45" customHeight="1" x14ac:dyDescent="0.25">
      <c r="A52" s="11">
        <v>33</v>
      </c>
      <c r="B52" s="12">
        <v>1</v>
      </c>
      <c r="C52" s="12">
        <v>1</v>
      </c>
      <c r="D52" s="12">
        <v>1</v>
      </c>
      <c r="E52" s="13">
        <f>IF(Table11[[#This Row],[Lot/ Unit Number]]&lt;=$G$13,$G$15*Table11[[#This Row],[ Contribution Schedule Lot Entitlements (CSLE)]],0)</f>
        <v>0</v>
      </c>
      <c r="F52" s="13">
        <f>IF(Table11[[#This Row],[Lot/ Unit Number]]&lt;=$G$13,$G$16*Table11[[#This Row],[ Contribution Schedule Lot Entitlements (CSLE)]],0)</f>
        <v>0</v>
      </c>
      <c r="G52" s="13">
        <f>IF(Table11[[#This Row],[Lot/ Unit Number]]&lt;=$G$13,$G$17*Table11[[#This Row],[Interest Schedule Lot Entitlements (ISLE)]],0)</f>
        <v>0</v>
      </c>
      <c r="H52" s="13">
        <f>Table11[[#This Row],[Total Annual Contribution]]/4</f>
        <v>0</v>
      </c>
      <c r="I52" s="51">
        <f>Table11[[#This Row],[Sinking Fund Rate per CSLE]]+Table11[[#This Row],[Administrative Fund Rate per CSLE]]+Table11[[#This Row],[Insurance Fund Rate per ISLE]]</f>
        <v>0</v>
      </c>
    </row>
    <row r="53" spans="1:9" s="14" customFormat="1" ht="14.45" customHeight="1" x14ac:dyDescent="0.25">
      <c r="A53" s="11">
        <v>34</v>
      </c>
      <c r="B53" s="12">
        <v>1</v>
      </c>
      <c r="C53" s="12">
        <v>1</v>
      </c>
      <c r="D53" s="12">
        <v>1</v>
      </c>
      <c r="E53" s="13">
        <f>IF(Table11[[#This Row],[Lot/ Unit Number]]&lt;=$G$13,$G$15*Table11[[#This Row],[ Contribution Schedule Lot Entitlements (CSLE)]],0)</f>
        <v>0</v>
      </c>
      <c r="F53" s="13">
        <f>IF(Table11[[#This Row],[Lot/ Unit Number]]&lt;=$G$13,$G$16*Table11[[#This Row],[ Contribution Schedule Lot Entitlements (CSLE)]],0)</f>
        <v>0</v>
      </c>
      <c r="G53" s="13">
        <f>IF(Table11[[#This Row],[Lot/ Unit Number]]&lt;=$G$13,$G$17*Table11[[#This Row],[Interest Schedule Lot Entitlements (ISLE)]],0)</f>
        <v>0</v>
      </c>
      <c r="H53" s="13">
        <f>Table11[[#This Row],[Total Annual Contribution]]/4</f>
        <v>0</v>
      </c>
      <c r="I53" s="51">
        <f>Table11[[#This Row],[Sinking Fund Rate per CSLE]]+Table11[[#This Row],[Administrative Fund Rate per CSLE]]+Table11[[#This Row],[Insurance Fund Rate per ISLE]]</f>
        <v>0</v>
      </c>
    </row>
    <row r="54" spans="1:9" s="14" customFormat="1" ht="14.45" customHeight="1" x14ac:dyDescent="0.25">
      <c r="A54" s="11">
        <v>35</v>
      </c>
      <c r="B54" s="12">
        <v>1</v>
      </c>
      <c r="C54" s="12">
        <v>1</v>
      </c>
      <c r="D54" s="12">
        <v>1</v>
      </c>
      <c r="E54" s="13">
        <f>IF(Table11[[#This Row],[Lot/ Unit Number]]&lt;=$G$13,$G$15*Table11[[#This Row],[ Contribution Schedule Lot Entitlements (CSLE)]],0)</f>
        <v>0</v>
      </c>
      <c r="F54" s="13">
        <f>IF(Table11[[#This Row],[Lot/ Unit Number]]&lt;=$G$13,$G$16*Table11[[#This Row],[ Contribution Schedule Lot Entitlements (CSLE)]],0)</f>
        <v>0</v>
      </c>
      <c r="G54" s="13">
        <f>IF(Table11[[#This Row],[Lot/ Unit Number]]&lt;=$G$13,$G$17*Table11[[#This Row],[Interest Schedule Lot Entitlements (ISLE)]],0)</f>
        <v>0</v>
      </c>
      <c r="H54" s="13">
        <f>Table11[[#This Row],[Total Annual Contribution]]/4</f>
        <v>0</v>
      </c>
      <c r="I54" s="51">
        <f>Table11[[#This Row],[Sinking Fund Rate per CSLE]]+Table11[[#This Row],[Administrative Fund Rate per CSLE]]+Table11[[#This Row],[Insurance Fund Rate per ISLE]]</f>
        <v>0</v>
      </c>
    </row>
    <row r="55" spans="1:9" s="14" customFormat="1" ht="14.45" customHeight="1" x14ac:dyDescent="0.25">
      <c r="A55" s="11">
        <v>36</v>
      </c>
      <c r="B55" s="12">
        <v>1</v>
      </c>
      <c r="C55" s="12">
        <v>1</v>
      </c>
      <c r="D55" s="12">
        <v>1</v>
      </c>
      <c r="E55" s="13">
        <f>IF(Table11[[#This Row],[Lot/ Unit Number]]&lt;=$G$13,$G$15*Table11[[#This Row],[ Contribution Schedule Lot Entitlements (CSLE)]],0)</f>
        <v>0</v>
      </c>
      <c r="F55" s="13">
        <f>IF(Table11[[#This Row],[Lot/ Unit Number]]&lt;=$G$13,$G$16*Table11[[#This Row],[ Contribution Schedule Lot Entitlements (CSLE)]],0)</f>
        <v>0</v>
      </c>
      <c r="G55" s="13">
        <f>IF(Table11[[#This Row],[Lot/ Unit Number]]&lt;=$G$13,$G$17*Table11[[#This Row],[Interest Schedule Lot Entitlements (ISLE)]],0)</f>
        <v>0</v>
      </c>
      <c r="H55" s="13">
        <f>Table11[[#This Row],[Total Annual Contribution]]/4</f>
        <v>0</v>
      </c>
      <c r="I55" s="51">
        <f>Table11[[#This Row],[Sinking Fund Rate per CSLE]]+Table11[[#This Row],[Administrative Fund Rate per CSLE]]+Table11[[#This Row],[Insurance Fund Rate per ISLE]]</f>
        <v>0</v>
      </c>
    </row>
    <row r="56" spans="1:9" s="14" customFormat="1" ht="14.45" customHeight="1" x14ac:dyDescent="0.25">
      <c r="A56" s="11">
        <v>37</v>
      </c>
      <c r="B56" s="12">
        <v>1</v>
      </c>
      <c r="C56" s="12">
        <v>1</v>
      </c>
      <c r="D56" s="12">
        <v>1</v>
      </c>
      <c r="E56" s="13">
        <f>IF(Table11[[#This Row],[Lot/ Unit Number]]&lt;=$G$13,$G$15*Table11[[#This Row],[ Contribution Schedule Lot Entitlements (CSLE)]],0)</f>
        <v>0</v>
      </c>
      <c r="F56" s="13">
        <f>IF(Table11[[#This Row],[Lot/ Unit Number]]&lt;=$G$13,$G$16*Table11[[#This Row],[ Contribution Schedule Lot Entitlements (CSLE)]],0)</f>
        <v>0</v>
      </c>
      <c r="G56" s="13">
        <f>IF(Table11[[#This Row],[Lot/ Unit Number]]&lt;=$G$13,$G$17*Table11[[#This Row],[Interest Schedule Lot Entitlements (ISLE)]],0)</f>
        <v>0</v>
      </c>
      <c r="H56" s="13">
        <f>Table11[[#This Row],[Total Annual Contribution]]/4</f>
        <v>0</v>
      </c>
      <c r="I56" s="51">
        <f>Table11[[#This Row],[Sinking Fund Rate per CSLE]]+Table11[[#This Row],[Administrative Fund Rate per CSLE]]+Table11[[#This Row],[Insurance Fund Rate per ISLE]]</f>
        <v>0</v>
      </c>
    </row>
    <row r="57" spans="1:9" s="14" customFormat="1" ht="14.45" customHeight="1" x14ac:dyDescent="0.25">
      <c r="A57" s="11">
        <v>38</v>
      </c>
      <c r="B57" s="12">
        <v>1</v>
      </c>
      <c r="C57" s="12">
        <v>1</v>
      </c>
      <c r="D57" s="12">
        <v>1</v>
      </c>
      <c r="E57" s="13">
        <f>IF(Table11[[#This Row],[Lot/ Unit Number]]&lt;=$G$13,$G$15*Table11[[#This Row],[ Contribution Schedule Lot Entitlements (CSLE)]],0)</f>
        <v>0</v>
      </c>
      <c r="F57" s="13">
        <f>IF(Table11[[#This Row],[Lot/ Unit Number]]&lt;=$G$13,$G$16*Table11[[#This Row],[ Contribution Schedule Lot Entitlements (CSLE)]],0)</f>
        <v>0</v>
      </c>
      <c r="G57" s="13">
        <f>IF(Table11[[#This Row],[Lot/ Unit Number]]&lt;=$G$13,$G$17*Table11[[#This Row],[Interest Schedule Lot Entitlements (ISLE)]],0)</f>
        <v>0</v>
      </c>
      <c r="H57" s="13">
        <f>Table11[[#This Row],[Total Annual Contribution]]/4</f>
        <v>0</v>
      </c>
      <c r="I57" s="51">
        <f>Table11[[#This Row],[Sinking Fund Rate per CSLE]]+Table11[[#This Row],[Administrative Fund Rate per CSLE]]+Table11[[#This Row],[Insurance Fund Rate per ISLE]]</f>
        <v>0</v>
      </c>
    </row>
    <row r="58" spans="1:9" s="14" customFormat="1" ht="14.45" customHeight="1" x14ac:dyDescent="0.25">
      <c r="A58" s="11">
        <v>39</v>
      </c>
      <c r="B58" s="12">
        <v>1</v>
      </c>
      <c r="C58" s="12">
        <v>1</v>
      </c>
      <c r="D58" s="12">
        <v>1</v>
      </c>
      <c r="E58" s="13">
        <f>IF(Table11[[#This Row],[Lot/ Unit Number]]&lt;=$G$13,$G$15*Table11[[#This Row],[ Contribution Schedule Lot Entitlements (CSLE)]],0)</f>
        <v>0</v>
      </c>
      <c r="F58" s="13">
        <f>IF(Table11[[#This Row],[Lot/ Unit Number]]&lt;=$G$13,$G$16*Table11[[#This Row],[ Contribution Schedule Lot Entitlements (CSLE)]],0)</f>
        <v>0</v>
      </c>
      <c r="G58" s="13">
        <f>IF(Table11[[#This Row],[Lot/ Unit Number]]&lt;=$G$13,$G$17*Table11[[#This Row],[Interest Schedule Lot Entitlements (ISLE)]],0)</f>
        <v>0</v>
      </c>
      <c r="H58" s="13">
        <f>Table11[[#This Row],[Total Annual Contribution]]/4</f>
        <v>0</v>
      </c>
      <c r="I58" s="51">
        <f>Table11[[#This Row],[Sinking Fund Rate per CSLE]]+Table11[[#This Row],[Administrative Fund Rate per CSLE]]+Table11[[#This Row],[Insurance Fund Rate per ISLE]]</f>
        <v>0</v>
      </c>
    </row>
    <row r="59" spans="1:9" s="14" customFormat="1" ht="14.45" customHeight="1" x14ac:dyDescent="0.25">
      <c r="A59" s="11">
        <v>40</v>
      </c>
      <c r="B59" s="12">
        <v>1</v>
      </c>
      <c r="C59" s="12">
        <v>1</v>
      </c>
      <c r="D59" s="12">
        <v>1</v>
      </c>
      <c r="E59" s="13">
        <f>IF(Table11[[#This Row],[Lot/ Unit Number]]&lt;=$G$13,$G$15*Table11[[#This Row],[ Contribution Schedule Lot Entitlements (CSLE)]],0)</f>
        <v>0</v>
      </c>
      <c r="F59" s="13">
        <f>IF(Table11[[#This Row],[Lot/ Unit Number]]&lt;=$G$13,$G$16*Table11[[#This Row],[ Contribution Schedule Lot Entitlements (CSLE)]],0)</f>
        <v>0</v>
      </c>
      <c r="G59" s="13">
        <f>IF(Table11[[#This Row],[Lot/ Unit Number]]&lt;=$G$13,$G$17*Table11[[#This Row],[Interest Schedule Lot Entitlements (ISLE)]],0)</f>
        <v>0</v>
      </c>
      <c r="H59" s="13">
        <f>Table11[[#This Row],[Total Annual Contribution]]/4</f>
        <v>0</v>
      </c>
      <c r="I59" s="51">
        <f>Table11[[#This Row],[Sinking Fund Rate per CSLE]]+Table11[[#This Row],[Administrative Fund Rate per CSLE]]+Table11[[#This Row],[Insurance Fund Rate per ISLE]]</f>
        <v>0</v>
      </c>
    </row>
    <row r="60" spans="1:9" s="14" customFormat="1" ht="14.45" customHeight="1" x14ac:dyDescent="0.25">
      <c r="A60" s="11">
        <v>41</v>
      </c>
      <c r="B60" s="12">
        <v>1</v>
      </c>
      <c r="C60" s="12">
        <v>1</v>
      </c>
      <c r="D60" s="12">
        <v>1</v>
      </c>
      <c r="E60" s="13">
        <f>IF(Table11[[#This Row],[Lot/ Unit Number]]&lt;=$G$13,$G$15*Table11[[#This Row],[ Contribution Schedule Lot Entitlements (CSLE)]],0)</f>
        <v>0</v>
      </c>
      <c r="F60" s="13">
        <f>IF(Table11[[#This Row],[Lot/ Unit Number]]&lt;=$G$13,$G$16*Table11[[#This Row],[ Contribution Schedule Lot Entitlements (CSLE)]],0)</f>
        <v>0</v>
      </c>
      <c r="G60" s="13">
        <f>IF(Table11[[#This Row],[Lot/ Unit Number]]&lt;=$G$13,$G$17*Table11[[#This Row],[Interest Schedule Lot Entitlements (ISLE)]],0)</f>
        <v>0</v>
      </c>
      <c r="H60" s="13">
        <f>Table11[[#This Row],[Total Annual Contribution]]/4</f>
        <v>0</v>
      </c>
      <c r="I60" s="51">
        <f>Table11[[#This Row],[Sinking Fund Rate per CSLE]]+Table11[[#This Row],[Administrative Fund Rate per CSLE]]+Table11[[#This Row],[Insurance Fund Rate per ISLE]]</f>
        <v>0</v>
      </c>
    </row>
    <row r="61" spans="1:9" s="14" customFormat="1" ht="14.45" customHeight="1" x14ac:dyDescent="0.25">
      <c r="A61" s="11">
        <v>42</v>
      </c>
      <c r="B61" s="12">
        <v>1</v>
      </c>
      <c r="C61" s="12">
        <v>1</v>
      </c>
      <c r="D61" s="12">
        <v>1</v>
      </c>
      <c r="E61" s="13">
        <f>IF(Table11[[#This Row],[Lot/ Unit Number]]&lt;=$G$13,$G$15*Table11[[#This Row],[ Contribution Schedule Lot Entitlements (CSLE)]],0)</f>
        <v>0</v>
      </c>
      <c r="F61" s="13">
        <f>IF(Table11[[#This Row],[Lot/ Unit Number]]&lt;=$G$13,$G$16*Table11[[#This Row],[ Contribution Schedule Lot Entitlements (CSLE)]],0)</f>
        <v>0</v>
      </c>
      <c r="G61" s="13">
        <f>IF(Table11[[#This Row],[Lot/ Unit Number]]&lt;=$G$13,$G$17*Table11[[#This Row],[Interest Schedule Lot Entitlements (ISLE)]],0)</f>
        <v>0</v>
      </c>
      <c r="H61" s="13">
        <f>Table11[[#This Row],[Total Annual Contribution]]/4</f>
        <v>0</v>
      </c>
      <c r="I61" s="51">
        <f>Table11[[#This Row],[Sinking Fund Rate per CSLE]]+Table11[[#This Row],[Administrative Fund Rate per CSLE]]+Table11[[#This Row],[Insurance Fund Rate per ISLE]]</f>
        <v>0</v>
      </c>
    </row>
    <row r="62" spans="1:9" s="14" customFormat="1" ht="14.45" customHeight="1" x14ac:dyDescent="0.25">
      <c r="A62" s="11">
        <v>43</v>
      </c>
      <c r="B62" s="12">
        <v>1</v>
      </c>
      <c r="C62" s="12">
        <v>1</v>
      </c>
      <c r="D62" s="12">
        <v>1</v>
      </c>
      <c r="E62" s="13">
        <f>IF(Table11[[#This Row],[Lot/ Unit Number]]&lt;=$G$13,$G$15*Table11[[#This Row],[ Contribution Schedule Lot Entitlements (CSLE)]],0)</f>
        <v>0</v>
      </c>
      <c r="F62" s="13">
        <f>IF(Table11[[#This Row],[Lot/ Unit Number]]&lt;=$G$13,$G$16*Table11[[#This Row],[ Contribution Schedule Lot Entitlements (CSLE)]],0)</f>
        <v>0</v>
      </c>
      <c r="G62" s="13">
        <f>IF(Table11[[#This Row],[Lot/ Unit Number]]&lt;=$G$13,$G$17*Table11[[#This Row],[Interest Schedule Lot Entitlements (ISLE)]],0)</f>
        <v>0</v>
      </c>
      <c r="H62" s="13">
        <f>Table11[[#This Row],[Total Annual Contribution]]/4</f>
        <v>0</v>
      </c>
      <c r="I62" s="51">
        <f>Table11[[#This Row],[Sinking Fund Rate per CSLE]]+Table11[[#This Row],[Administrative Fund Rate per CSLE]]+Table11[[#This Row],[Insurance Fund Rate per ISLE]]</f>
        <v>0</v>
      </c>
    </row>
    <row r="63" spans="1:9" s="14" customFormat="1" ht="14.45" customHeight="1" x14ac:dyDescent="0.25">
      <c r="A63" s="11">
        <v>44</v>
      </c>
      <c r="B63" s="12">
        <v>1</v>
      </c>
      <c r="C63" s="12">
        <v>1</v>
      </c>
      <c r="D63" s="12">
        <v>1</v>
      </c>
      <c r="E63" s="13">
        <f>IF(Table11[[#This Row],[Lot/ Unit Number]]&lt;=$G$13,$G$15*Table11[[#This Row],[ Contribution Schedule Lot Entitlements (CSLE)]],0)</f>
        <v>0</v>
      </c>
      <c r="F63" s="13">
        <f>IF(Table11[[#This Row],[Lot/ Unit Number]]&lt;=$G$13,$G$16*Table11[[#This Row],[ Contribution Schedule Lot Entitlements (CSLE)]],0)</f>
        <v>0</v>
      </c>
      <c r="G63" s="13">
        <f>IF(Table11[[#This Row],[Lot/ Unit Number]]&lt;=$G$13,$G$17*Table11[[#This Row],[Interest Schedule Lot Entitlements (ISLE)]],0)</f>
        <v>0</v>
      </c>
      <c r="H63" s="13">
        <f>Table11[[#This Row],[Total Annual Contribution]]/4</f>
        <v>0</v>
      </c>
      <c r="I63" s="51">
        <f>Table11[[#This Row],[Sinking Fund Rate per CSLE]]+Table11[[#This Row],[Administrative Fund Rate per CSLE]]+Table11[[#This Row],[Insurance Fund Rate per ISLE]]</f>
        <v>0</v>
      </c>
    </row>
    <row r="64" spans="1:9" s="14" customFormat="1" ht="14.45" customHeight="1" x14ac:dyDescent="0.25">
      <c r="A64" s="11">
        <v>45</v>
      </c>
      <c r="B64" s="12">
        <v>1</v>
      </c>
      <c r="C64" s="12">
        <v>1</v>
      </c>
      <c r="D64" s="12">
        <v>1</v>
      </c>
      <c r="E64" s="13">
        <f>IF(Table11[[#This Row],[Lot/ Unit Number]]&lt;=$G$13,$G$15*Table11[[#This Row],[ Contribution Schedule Lot Entitlements (CSLE)]],0)</f>
        <v>0</v>
      </c>
      <c r="F64" s="13">
        <f>IF(Table11[[#This Row],[Lot/ Unit Number]]&lt;=$G$13,$G$16*Table11[[#This Row],[ Contribution Schedule Lot Entitlements (CSLE)]],0)</f>
        <v>0</v>
      </c>
      <c r="G64" s="13">
        <f>IF(Table11[[#This Row],[Lot/ Unit Number]]&lt;=$G$13,$G$17*Table11[[#This Row],[Interest Schedule Lot Entitlements (ISLE)]],0)</f>
        <v>0</v>
      </c>
      <c r="H64" s="13">
        <f>Table11[[#This Row],[Total Annual Contribution]]/4</f>
        <v>0</v>
      </c>
      <c r="I64" s="51">
        <f>Table11[[#This Row],[Sinking Fund Rate per CSLE]]+Table11[[#This Row],[Administrative Fund Rate per CSLE]]+Table11[[#This Row],[Insurance Fund Rate per ISLE]]</f>
        <v>0</v>
      </c>
    </row>
    <row r="65" spans="1:9" s="14" customFormat="1" ht="14.45" customHeight="1" x14ac:dyDescent="0.25">
      <c r="A65" s="11">
        <v>46</v>
      </c>
      <c r="B65" s="12">
        <v>1</v>
      </c>
      <c r="C65" s="12">
        <v>1</v>
      </c>
      <c r="D65" s="12">
        <v>1</v>
      </c>
      <c r="E65" s="13">
        <f>IF(Table11[[#This Row],[Lot/ Unit Number]]&lt;=$G$13,$G$15*Table11[[#This Row],[ Contribution Schedule Lot Entitlements (CSLE)]],0)</f>
        <v>0</v>
      </c>
      <c r="F65" s="13">
        <f>IF(Table11[[#This Row],[Lot/ Unit Number]]&lt;=$G$13,$G$16*Table11[[#This Row],[ Contribution Schedule Lot Entitlements (CSLE)]],0)</f>
        <v>0</v>
      </c>
      <c r="G65" s="13">
        <f>IF(Table11[[#This Row],[Lot/ Unit Number]]&lt;=$G$13,$G$17*Table11[[#This Row],[Interest Schedule Lot Entitlements (ISLE)]],0)</f>
        <v>0</v>
      </c>
      <c r="H65" s="13">
        <f>Table11[[#This Row],[Total Annual Contribution]]/4</f>
        <v>0</v>
      </c>
      <c r="I65" s="51">
        <f>Table11[[#This Row],[Sinking Fund Rate per CSLE]]+Table11[[#This Row],[Administrative Fund Rate per CSLE]]+Table11[[#This Row],[Insurance Fund Rate per ISLE]]</f>
        <v>0</v>
      </c>
    </row>
    <row r="66" spans="1:9" s="14" customFormat="1" ht="14.45" customHeight="1" x14ac:dyDescent="0.25">
      <c r="A66" s="11">
        <v>47</v>
      </c>
      <c r="B66" s="12">
        <v>1</v>
      </c>
      <c r="C66" s="12">
        <v>1</v>
      </c>
      <c r="D66" s="12">
        <v>1</v>
      </c>
      <c r="E66" s="13">
        <f>IF(Table11[[#This Row],[Lot/ Unit Number]]&lt;=$G$13,$G$15*Table11[[#This Row],[ Contribution Schedule Lot Entitlements (CSLE)]],0)</f>
        <v>0</v>
      </c>
      <c r="F66" s="13">
        <f>IF(Table11[[#This Row],[Lot/ Unit Number]]&lt;=$G$13,$G$16*Table11[[#This Row],[ Contribution Schedule Lot Entitlements (CSLE)]],0)</f>
        <v>0</v>
      </c>
      <c r="G66" s="13">
        <f>IF(Table11[[#This Row],[Lot/ Unit Number]]&lt;=$G$13,$G$17*Table11[[#This Row],[Interest Schedule Lot Entitlements (ISLE)]],0)</f>
        <v>0</v>
      </c>
      <c r="H66" s="13">
        <f>Table11[[#This Row],[Total Annual Contribution]]/4</f>
        <v>0</v>
      </c>
      <c r="I66" s="51">
        <f>Table11[[#This Row],[Sinking Fund Rate per CSLE]]+Table11[[#This Row],[Administrative Fund Rate per CSLE]]+Table11[[#This Row],[Insurance Fund Rate per ISLE]]</f>
        <v>0</v>
      </c>
    </row>
    <row r="67" spans="1:9" s="14" customFormat="1" ht="14.45" customHeight="1" x14ac:dyDescent="0.25">
      <c r="A67" s="11">
        <v>48</v>
      </c>
      <c r="B67" s="12">
        <v>1</v>
      </c>
      <c r="C67" s="12">
        <v>1</v>
      </c>
      <c r="D67" s="12">
        <v>1</v>
      </c>
      <c r="E67" s="13">
        <f>IF(Table11[[#This Row],[Lot/ Unit Number]]&lt;=$G$13,$G$15*Table11[[#This Row],[ Contribution Schedule Lot Entitlements (CSLE)]],0)</f>
        <v>0</v>
      </c>
      <c r="F67" s="13">
        <f>IF(Table11[[#This Row],[Lot/ Unit Number]]&lt;=$G$13,$G$16*Table11[[#This Row],[ Contribution Schedule Lot Entitlements (CSLE)]],0)</f>
        <v>0</v>
      </c>
      <c r="G67" s="13">
        <f>IF(Table11[[#This Row],[Lot/ Unit Number]]&lt;=$G$13,$G$17*Table11[[#This Row],[Interest Schedule Lot Entitlements (ISLE)]],0)</f>
        <v>0</v>
      </c>
      <c r="H67" s="13">
        <f>Table11[[#This Row],[Total Annual Contribution]]/4</f>
        <v>0</v>
      </c>
      <c r="I67" s="51">
        <f>Table11[[#This Row],[Sinking Fund Rate per CSLE]]+Table11[[#This Row],[Administrative Fund Rate per CSLE]]+Table11[[#This Row],[Insurance Fund Rate per ISLE]]</f>
        <v>0</v>
      </c>
    </row>
    <row r="68" spans="1:9" s="14" customFormat="1" ht="14.45" customHeight="1" x14ac:dyDescent="0.25">
      <c r="A68" s="11">
        <v>49</v>
      </c>
      <c r="B68" s="12">
        <v>1</v>
      </c>
      <c r="C68" s="12">
        <v>1</v>
      </c>
      <c r="D68" s="12">
        <v>1</v>
      </c>
      <c r="E68" s="13">
        <f>IF(Table11[[#This Row],[Lot/ Unit Number]]&lt;=$G$13,$G$15*Table11[[#This Row],[ Contribution Schedule Lot Entitlements (CSLE)]],0)</f>
        <v>0</v>
      </c>
      <c r="F68" s="13">
        <f>IF(Table11[[#This Row],[Lot/ Unit Number]]&lt;=$G$13,$G$16*Table11[[#This Row],[ Contribution Schedule Lot Entitlements (CSLE)]],0)</f>
        <v>0</v>
      </c>
      <c r="G68" s="13">
        <f>IF(Table11[[#This Row],[Lot/ Unit Number]]&lt;=$G$13,$G$17*Table11[[#This Row],[Interest Schedule Lot Entitlements (ISLE)]],0)</f>
        <v>0</v>
      </c>
      <c r="H68" s="13">
        <f>Table11[[#This Row],[Total Annual Contribution]]/4</f>
        <v>0</v>
      </c>
      <c r="I68" s="51">
        <f>Table11[[#This Row],[Sinking Fund Rate per CSLE]]+Table11[[#This Row],[Administrative Fund Rate per CSLE]]+Table11[[#This Row],[Insurance Fund Rate per ISLE]]</f>
        <v>0</v>
      </c>
    </row>
    <row r="69" spans="1:9" s="14" customFormat="1" ht="14.45" customHeight="1" x14ac:dyDescent="0.25">
      <c r="A69" s="11">
        <v>50</v>
      </c>
      <c r="B69" s="12">
        <v>1</v>
      </c>
      <c r="C69" s="12">
        <v>1</v>
      </c>
      <c r="D69" s="12">
        <v>1</v>
      </c>
      <c r="E69" s="13">
        <f>IF(Table11[[#This Row],[Lot/ Unit Number]]&lt;=$G$13,$G$15*Table11[[#This Row],[ Contribution Schedule Lot Entitlements (CSLE)]],0)</f>
        <v>0</v>
      </c>
      <c r="F69" s="13">
        <f>IF(Table11[[#This Row],[Lot/ Unit Number]]&lt;=$G$13,$G$16*Table11[[#This Row],[ Contribution Schedule Lot Entitlements (CSLE)]],0)</f>
        <v>0</v>
      </c>
      <c r="G69" s="13">
        <f>IF(Table11[[#This Row],[Lot/ Unit Number]]&lt;=$G$13,$G$17*Table11[[#This Row],[Interest Schedule Lot Entitlements (ISLE)]],0)</f>
        <v>0</v>
      </c>
      <c r="H69" s="13">
        <f>Table11[[#This Row],[Total Annual Contribution]]/4</f>
        <v>0</v>
      </c>
      <c r="I69" s="51">
        <f>Table11[[#This Row],[Sinking Fund Rate per CSLE]]+Table11[[#This Row],[Administrative Fund Rate per CSLE]]+Table11[[#This Row],[Insurance Fund Rate per ISLE]]</f>
        <v>0</v>
      </c>
    </row>
    <row r="70" spans="1:9" s="14" customFormat="1" ht="14.45" customHeight="1" x14ac:dyDescent="0.25">
      <c r="A70" s="11"/>
      <c r="B70" s="52" t="s">
        <v>69</v>
      </c>
      <c r="C70" s="16">
        <f t="shared" ref="C70:I70" si="0">SUBTOTAL(109,C20:C69)</f>
        <v>50</v>
      </c>
      <c r="D70" s="16">
        <f t="shared" si="0"/>
        <v>50</v>
      </c>
      <c r="E70" s="17">
        <f t="shared" si="0"/>
        <v>1.1000000000000001</v>
      </c>
      <c r="F70" s="17">
        <f t="shared" si="0"/>
        <v>1.1000000000000001</v>
      </c>
      <c r="G70" s="17">
        <f t="shared" si="0"/>
        <v>1.1000000000000001</v>
      </c>
      <c r="H70" s="17">
        <f t="shared" si="0"/>
        <v>0.82500000000000007</v>
      </c>
      <c r="I70" s="17">
        <f t="shared" si="0"/>
        <v>3.3000000000000003</v>
      </c>
    </row>
  </sheetData>
  <sheetProtection algorithmName="SHA-512" hashValue="a36q6dnj2uIK1XqMYO2KEVvbtZmrXtbyKOVo05gArnNNvXQddQGn/EgwanerjjhS02QgnUMD6o7TncmNeCBqgQ==" saltValue="OwbC4XFbrcJFJUT4ZAu+dg==" spinCount="100000" sheet="1" formatCells="0" formatColumns="0" formatRows="0" insertColumns="0" insertRows="0" insertHyperlinks="0" deleteColumns="0" deleteRows="0" sort="0" autoFilter="0" pivotTables="0"/>
  <dataConsolidate/>
  <mergeCells count="10">
    <mergeCell ref="K14:O14"/>
    <mergeCell ref="A17:F17"/>
    <mergeCell ref="A16:F16"/>
    <mergeCell ref="A9:J9"/>
    <mergeCell ref="A11:J11"/>
    <mergeCell ref="A12:J12"/>
    <mergeCell ref="A13:F13"/>
    <mergeCell ref="A14:F14"/>
    <mergeCell ref="A15:F15"/>
    <mergeCell ref="A10:J10"/>
  </mergeCells>
  <hyperlinks>
    <hyperlink ref="J6" r:id="rId1" display="info@merciercorporation.com.au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&amp;L&amp;"-,Italic"&amp;6Page &amp;P of &amp;N&amp;C&amp;"-,Italic"&amp;6[SCHEME NAME] Schedule of Proposed Contributions (2017-2018|&amp;D&amp;R&amp;"-,Italic"&amp;6Mercier Body Corporate Services ©2017</oddFooter>
  </headerFooter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G14" sqref="G14"/>
    </sheetView>
  </sheetViews>
  <sheetFormatPr defaultRowHeight="15" x14ac:dyDescent="0.25"/>
  <sheetData>
    <row r="3" spans="2:2" x14ac:dyDescent="0.25">
      <c r="B3" t="s">
        <v>117</v>
      </c>
    </row>
    <row r="4" spans="2:2" x14ac:dyDescent="0.25">
      <c r="B4" t="s">
        <v>118</v>
      </c>
    </row>
  </sheetData>
  <sheetProtection algorithmName="SHA-512" hashValue="q7shGBfR1b2L6SQG7UVuOpw2A152KZmxBmvzDiDahLSFOIBYiSkUo0hNMOnfoDaiQOchr2OsBx3KRTrfLuAvrw==" saltValue="xAQINbu0j7RIdSD6bvrAS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Schedule </vt:lpstr>
      <vt:lpstr>Help</vt:lpstr>
      <vt:lpstr>Budget!Print_Area</vt:lpstr>
      <vt:lpstr>'Schedule '!Print_Area</vt:lpstr>
      <vt:lpstr>'Schedule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Nasrin Jazayeri</cp:lastModifiedBy>
  <cp:lastPrinted>2016-10-07T03:01:26Z</cp:lastPrinted>
  <dcterms:created xsi:type="dcterms:W3CDTF">2016-05-13T05:51:19Z</dcterms:created>
  <dcterms:modified xsi:type="dcterms:W3CDTF">2017-04-26T01:57:12Z</dcterms:modified>
</cp:coreProperties>
</file>